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Kempley\OneDrive - United States Olympic Committee\USAS Work\Web Site\National Competition Results\2021\"/>
    </mc:Choice>
  </mc:AlternateContent>
  <xr:revisionPtr revIDLastSave="8" documentId="13_ncr:40009_{CC42CE92-5F25-4D12-A7E2-BD822D9BD597}" xr6:coauthVersionLast="44" xr6:coauthVersionMax="44" xr10:uidLastSave="{996C8456-D2F6-4F7D-B1BC-7207498E4227}"/>
  <bookViews>
    <workbookView xWindow="36345" yWindow="465" windowWidth="19260" windowHeight="13245" xr2:uid="{00000000-000D-0000-FFFF-FFFF00000000}"/>
  </bookViews>
  <sheets>
    <sheet name="OH MAR" sheetId="1" r:id="rId1"/>
    <sheet name="OH MAR Final" sheetId="12" r:id="rId2"/>
    <sheet name="OH WAR" sheetId="2" r:id="rId3"/>
    <sheet name="OH WAR Final" sheetId="13" r:id="rId4"/>
    <sheet name="OH Scores by Age" sheetId="6" r:id="rId5"/>
    <sheet name="OH U15 SuperFinal" sheetId="15" r:id="rId6"/>
    <sheet name="OH U18 SuperFinal" sheetId="16" r:id="rId7"/>
    <sheet name="OH U21 SuperFinal" sheetId="17" r:id="rId8"/>
    <sheet name="OH Over 21 SuperFinal" sheetId="18" r:id="rId9"/>
    <sheet name="AL MAR" sheetId="4" r:id="rId10"/>
    <sheet name="AL MAR Final" sheetId="10" r:id="rId11"/>
    <sheet name="AL WAR" sheetId="3" r:id="rId12"/>
    <sheet name="AL WAR Final" sheetId="11" r:id="rId13"/>
    <sheet name="AL Scores by Age" sheetId="5" r:id="rId14"/>
    <sheet name="Para R2" sheetId="14" r:id="rId15"/>
    <sheet name="Para R3" sheetId="7" r:id="rId16"/>
    <sheet name="Para R4" sheetId="8" r:id="rId17"/>
    <sheet name="Para R5" sheetId="9" r:id="rId18"/>
  </sheets>
  <definedNames>
    <definedName name="WAGday1u15_and_u18_super_final_results." localSheetId="5">'OH U15 SuperFinal'!$A$5:$N$18</definedName>
    <definedName name="WAGday3relay3results." localSheetId="8">'OH Over 21 SuperFinal'!$A$4:$O$18</definedName>
    <definedName name="WAGDu21superfinalResults." localSheetId="7">'OH U21 SuperFinal'!$A$5:$O$26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4" l="1"/>
  <c r="B5" i="14"/>
  <c r="A2" i="14"/>
  <c r="A1" i="14"/>
  <c r="F17" i="7"/>
  <c r="B17" i="7"/>
  <c r="L11" i="13"/>
  <c r="K11" i="13"/>
  <c r="J11" i="13"/>
  <c r="I11" i="13"/>
  <c r="H11" i="13"/>
  <c r="G11" i="13"/>
  <c r="F11" i="13"/>
  <c r="E11" i="13"/>
  <c r="D11" i="13"/>
  <c r="C11" i="13"/>
  <c r="B11" i="13"/>
  <c r="L10" i="13"/>
  <c r="K10" i="13"/>
  <c r="J10" i="13"/>
  <c r="I10" i="13"/>
  <c r="H10" i="13"/>
  <c r="G10" i="13"/>
  <c r="F10" i="13"/>
  <c r="E10" i="13"/>
  <c r="D10" i="13"/>
  <c r="C10" i="13"/>
  <c r="B10" i="13"/>
  <c r="L9" i="13"/>
  <c r="K9" i="13"/>
  <c r="J9" i="13"/>
  <c r="I9" i="13"/>
  <c r="H9" i="13"/>
  <c r="G9" i="13"/>
  <c r="F9" i="13"/>
  <c r="E9" i="13"/>
  <c r="D9" i="13"/>
  <c r="C9" i="13"/>
  <c r="B9" i="13"/>
  <c r="L8" i="13"/>
  <c r="K8" i="13"/>
  <c r="J8" i="13"/>
  <c r="I8" i="13"/>
  <c r="H8" i="13"/>
  <c r="G8" i="13"/>
  <c r="F8" i="13"/>
  <c r="E8" i="13"/>
  <c r="D8" i="13"/>
  <c r="C8" i="13"/>
  <c r="B8" i="13"/>
  <c r="L7" i="13"/>
  <c r="K7" i="13"/>
  <c r="J7" i="13"/>
  <c r="I7" i="13"/>
  <c r="H7" i="13"/>
  <c r="G7" i="13"/>
  <c r="F7" i="13"/>
  <c r="E7" i="13"/>
  <c r="D7" i="13"/>
  <c r="C7" i="13"/>
  <c r="B7" i="13"/>
  <c r="L6" i="13"/>
  <c r="K6" i="13"/>
  <c r="J6" i="13"/>
  <c r="I6" i="13"/>
  <c r="H6" i="13"/>
  <c r="G6" i="13"/>
  <c r="F6" i="13"/>
  <c r="E6" i="13"/>
  <c r="D6" i="13"/>
  <c r="C6" i="13"/>
  <c r="B6" i="13"/>
  <c r="L5" i="13"/>
  <c r="K5" i="13"/>
  <c r="J5" i="13"/>
  <c r="I5" i="13"/>
  <c r="H5" i="13"/>
  <c r="G5" i="13"/>
  <c r="F5" i="13"/>
  <c r="E5" i="13"/>
  <c r="D5" i="13"/>
  <c r="C5" i="13"/>
  <c r="B5" i="13"/>
  <c r="L4" i="13"/>
  <c r="K4" i="13"/>
  <c r="J4" i="13"/>
  <c r="I4" i="13"/>
  <c r="H4" i="13"/>
  <c r="G4" i="13"/>
  <c r="F4" i="13"/>
  <c r="E4" i="13"/>
  <c r="D4" i="13"/>
  <c r="C4" i="13"/>
  <c r="B4" i="13"/>
  <c r="L3" i="13"/>
  <c r="K3" i="13"/>
  <c r="J3" i="13"/>
  <c r="I3" i="13"/>
  <c r="H3" i="13"/>
  <c r="G3" i="13"/>
  <c r="F3" i="13"/>
  <c r="E3" i="13"/>
  <c r="D3" i="13"/>
  <c r="C3" i="13"/>
  <c r="B3" i="13"/>
  <c r="A3" i="13"/>
  <c r="A2" i="13"/>
  <c r="A1" i="13"/>
  <c r="L11" i="12"/>
  <c r="K11" i="12"/>
  <c r="J11" i="12"/>
  <c r="I11" i="12"/>
  <c r="H11" i="12"/>
  <c r="G11" i="12"/>
  <c r="F11" i="12"/>
  <c r="E11" i="12"/>
  <c r="D11" i="12"/>
  <c r="C11" i="12"/>
  <c r="B11" i="12"/>
  <c r="L10" i="12"/>
  <c r="K10" i="12"/>
  <c r="J10" i="12"/>
  <c r="I10" i="12"/>
  <c r="H10" i="12"/>
  <c r="G10" i="12"/>
  <c r="F10" i="12"/>
  <c r="E10" i="12"/>
  <c r="D10" i="12"/>
  <c r="C10" i="12"/>
  <c r="B10" i="12"/>
  <c r="L9" i="12"/>
  <c r="K9" i="12"/>
  <c r="J9" i="12"/>
  <c r="I9" i="12"/>
  <c r="H9" i="12"/>
  <c r="G9" i="12"/>
  <c r="F9" i="12"/>
  <c r="E9" i="12"/>
  <c r="D9" i="12"/>
  <c r="C9" i="12"/>
  <c r="B9" i="12"/>
  <c r="L8" i="12"/>
  <c r="K8" i="12"/>
  <c r="J8" i="12"/>
  <c r="I8" i="12"/>
  <c r="H8" i="12"/>
  <c r="G8" i="12"/>
  <c r="F8" i="12"/>
  <c r="E8" i="12"/>
  <c r="D8" i="12"/>
  <c r="C8" i="12"/>
  <c r="B8" i="12"/>
  <c r="L7" i="12"/>
  <c r="K7" i="12"/>
  <c r="J7" i="12"/>
  <c r="I7" i="12"/>
  <c r="H7" i="12"/>
  <c r="G7" i="12"/>
  <c r="F7" i="12"/>
  <c r="E7" i="12"/>
  <c r="D7" i="12"/>
  <c r="C7" i="12"/>
  <c r="B7" i="12"/>
  <c r="L6" i="12"/>
  <c r="K6" i="12"/>
  <c r="J6" i="12"/>
  <c r="I6" i="12"/>
  <c r="H6" i="12"/>
  <c r="G6" i="12"/>
  <c r="F6" i="12"/>
  <c r="E6" i="12"/>
  <c r="D6" i="12"/>
  <c r="C6" i="12"/>
  <c r="B6" i="12"/>
  <c r="L5" i="12"/>
  <c r="K5" i="12"/>
  <c r="J5" i="12"/>
  <c r="I5" i="12"/>
  <c r="H5" i="12"/>
  <c r="G5" i="12"/>
  <c r="F5" i="12"/>
  <c r="E5" i="12"/>
  <c r="D5" i="12"/>
  <c r="C5" i="12"/>
  <c r="B5" i="12"/>
  <c r="L4" i="12"/>
  <c r="K4" i="12"/>
  <c r="J4" i="12"/>
  <c r="I4" i="12"/>
  <c r="H4" i="12"/>
  <c r="G4" i="12"/>
  <c r="F4" i="12"/>
  <c r="E4" i="12"/>
  <c r="D4" i="12"/>
  <c r="C4" i="12"/>
  <c r="B4" i="12"/>
  <c r="L3" i="12"/>
  <c r="K3" i="12"/>
  <c r="J3" i="12"/>
  <c r="I3" i="12"/>
  <c r="H3" i="12"/>
  <c r="G3" i="12"/>
  <c r="F3" i="12"/>
  <c r="E3" i="12"/>
  <c r="D3" i="12"/>
  <c r="C3" i="12"/>
  <c r="B3" i="12"/>
  <c r="A3" i="12"/>
  <c r="A2" i="12"/>
  <c r="A1" i="12"/>
  <c r="L11" i="11"/>
  <c r="K11" i="11"/>
  <c r="J11" i="11"/>
  <c r="I11" i="11"/>
  <c r="H11" i="11"/>
  <c r="G11" i="11"/>
  <c r="F11" i="11"/>
  <c r="E11" i="11"/>
  <c r="D11" i="11"/>
  <c r="C11" i="11"/>
  <c r="B11" i="11"/>
  <c r="L10" i="11"/>
  <c r="K10" i="11"/>
  <c r="J10" i="11"/>
  <c r="I10" i="11"/>
  <c r="H10" i="11"/>
  <c r="G10" i="11"/>
  <c r="F10" i="11"/>
  <c r="E10" i="11"/>
  <c r="D10" i="11"/>
  <c r="C10" i="11"/>
  <c r="B10" i="11"/>
  <c r="L9" i="11"/>
  <c r="K9" i="11"/>
  <c r="J9" i="11"/>
  <c r="I9" i="11"/>
  <c r="H9" i="11"/>
  <c r="G9" i="11"/>
  <c r="F9" i="11"/>
  <c r="E9" i="11"/>
  <c r="D9" i="11"/>
  <c r="C9" i="11"/>
  <c r="B9" i="11"/>
  <c r="L8" i="11"/>
  <c r="K8" i="11"/>
  <c r="J8" i="11"/>
  <c r="I8" i="11"/>
  <c r="H8" i="11"/>
  <c r="G8" i="11"/>
  <c r="F8" i="11"/>
  <c r="E8" i="11"/>
  <c r="D8" i="11"/>
  <c r="C8" i="11"/>
  <c r="B8" i="11"/>
  <c r="L7" i="11"/>
  <c r="K7" i="11"/>
  <c r="J7" i="11"/>
  <c r="I7" i="11"/>
  <c r="H7" i="11"/>
  <c r="G7" i="11"/>
  <c r="F7" i="11"/>
  <c r="E7" i="11"/>
  <c r="D7" i="11"/>
  <c r="C7" i="11"/>
  <c r="B7" i="11"/>
  <c r="L6" i="11"/>
  <c r="K6" i="11"/>
  <c r="J6" i="11"/>
  <c r="I6" i="11"/>
  <c r="H6" i="11"/>
  <c r="G6" i="11"/>
  <c r="F6" i="11"/>
  <c r="E6" i="11"/>
  <c r="D6" i="11"/>
  <c r="C6" i="11"/>
  <c r="B6" i="11"/>
  <c r="L5" i="11"/>
  <c r="K5" i="11"/>
  <c r="J5" i="11"/>
  <c r="I5" i="11"/>
  <c r="H5" i="11"/>
  <c r="G5" i="11"/>
  <c r="F5" i="11"/>
  <c r="E5" i="11"/>
  <c r="D5" i="11"/>
  <c r="C5" i="11"/>
  <c r="B5" i="11"/>
  <c r="L4" i="11"/>
  <c r="K4" i="11"/>
  <c r="J4" i="11"/>
  <c r="I4" i="11"/>
  <c r="H4" i="11"/>
  <c r="G4" i="11"/>
  <c r="F4" i="11"/>
  <c r="E4" i="11"/>
  <c r="D4" i="11"/>
  <c r="C4" i="11"/>
  <c r="B4" i="11"/>
  <c r="L3" i="11"/>
  <c r="K3" i="11"/>
  <c r="J3" i="11"/>
  <c r="I3" i="11"/>
  <c r="H3" i="11"/>
  <c r="G3" i="11"/>
  <c r="F3" i="11"/>
  <c r="E3" i="11"/>
  <c r="D3" i="11"/>
  <c r="C3" i="11"/>
  <c r="B3" i="11"/>
  <c r="A3" i="11"/>
  <c r="A2" i="11"/>
  <c r="A1" i="11"/>
  <c r="G3" i="10"/>
  <c r="F3" i="10"/>
  <c r="L11" i="10"/>
  <c r="K11" i="10"/>
  <c r="J11" i="10"/>
  <c r="I11" i="10"/>
  <c r="H11" i="10"/>
  <c r="G11" i="10"/>
  <c r="F11" i="10"/>
  <c r="E11" i="10"/>
  <c r="D11" i="10"/>
  <c r="C11" i="10"/>
  <c r="B11" i="10"/>
  <c r="L10" i="10"/>
  <c r="K10" i="10"/>
  <c r="J10" i="10"/>
  <c r="I10" i="10"/>
  <c r="H10" i="10"/>
  <c r="G10" i="10"/>
  <c r="F10" i="10"/>
  <c r="E10" i="10"/>
  <c r="D10" i="10"/>
  <c r="C10" i="10"/>
  <c r="B10" i="10"/>
  <c r="L9" i="10"/>
  <c r="K9" i="10"/>
  <c r="J9" i="10"/>
  <c r="I9" i="10"/>
  <c r="H9" i="10"/>
  <c r="G9" i="10"/>
  <c r="F9" i="10"/>
  <c r="E9" i="10"/>
  <c r="D9" i="10"/>
  <c r="C9" i="10"/>
  <c r="B9" i="10"/>
  <c r="L8" i="10"/>
  <c r="K8" i="10"/>
  <c r="J8" i="10"/>
  <c r="I8" i="10"/>
  <c r="H8" i="10"/>
  <c r="G8" i="10"/>
  <c r="F8" i="10"/>
  <c r="E8" i="10"/>
  <c r="D8" i="10"/>
  <c r="C8" i="10"/>
  <c r="B8" i="10"/>
  <c r="L7" i="10"/>
  <c r="K7" i="10"/>
  <c r="J7" i="10"/>
  <c r="I7" i="10"/>
  <c r="H7" i="10"/>
  <c r="G7" i="10"/>
  <c r="F7" i="10"/>
  <c r="E7" i="10"/>
  <c r="D7" i="10"/>
  <c r="C7" i="10"/>
  <c r="B7" i="10"/>
  <c r="L6" i="10"/>
  <c r="K6" i="10"/>
  <c r="J6" i="10"/>
  <c r="I6" i="10"/>
  <c r="H6" i="10"/>
  <c r="G6" i="10"/>
  <c r="F6" i="10"/>
  <c r="E6" i="10"/>
  <c r="D6" i="10"/>
  <c r="C6" i="10"/>
  <c r="B6" i="10"/>
  <c r="L5" i="10"/>
  <c r="K5" i="10"/>
  <c r="J5" i="10"/>
  <c r="I5" i="10"/>
  <c r="H5" i="10"/>
  <c r="G5" i="10"/>
  <c r="F5" i="10"/>
  <c r="E5" i="10"/>
  <c r="D5" i="10"/>
  <c r="C5" i="10"/>
  <c r="B5" i="10"/>
  <c r="L4" i="10"/>
  <c r="K4" i="10"/>
  <c r="J4" i="10"/>
  <c r="I4" i="10"/>
  <c r="H4" i="10"/>
  <c r="G4" i="10"/>
  <c r="F4" i="10"/>
  <c r="E4" i="10"/>
  <c r="D4" i="10"/>
  <c r="C4" i="10"/>
  <c r="B4" i="10"/>
  <c r="L3" i="10"/>
  <c r="K3" i="10"/>
  <c r="J3" i="10"/>
  <c r="I3" i="10"/>
  <c r="H3" i="10"/>
  <c r="E3" i="10"/>
  <c r="D3" i="10"/>
  <c r="C3" i="10"/>
  <c r="B3" i="10"/>
  <c r="A3" i="10"/>
  <c r="A2" i="10"/>
  <c r="A1" i="10"/>
  <c r="G153" i="6"/>
  <c r="F153" i="6"/>
  <c r="E153" i="6"/>
  <c r="D153" i="6"/>
  <c r="B153" i="6"/>
  <c r="G151" i="6"/>
  <c r="F151" i="6"/>
  <c r="E151" i="6"/>
  <c r="D151" i="6"/>
  <c r="B151" i="6"/>
  <c r="A149" i="6"/>
  <c r="G147" i="6"/>
  <c r="F147" i="6"/>
  <c r="E147" i="6"/>
  <c r="D147" i="6"/>
  <c r="B147" i="6"/>
  <c r="G146" i="6"/>
  <c r="F146" i="6"/>
  <c r="E146" i="6"/>
  <c r="D146" i="6"/>
  <c r="B146" i="6"/>
  <c r="G145" i="6"/>
  <c r="F145" i="6"/>
  <c r="E145" i="6"/>
  <c r="D145" i="6"/>
  <c r="B145" i="6"/>
  <c r="G144" i="6"/>
  <c r="F144" i="6"/>
  <c r="E144" i="6"/>
  <c r="D144" i="6"/>
  <c r="B144" i="6"/>
  <c r="G143" i="6"/>
  <c r="F143" i="6"/>
  <c r="E143" i="6"/>
  <c r="D143" i="6"/>
  <c r="B143" i="6"/>
  <c r="G142" i="6"/>
  <c r="F142" i="6"/>
  <c r="E142" i="6"/>
  <c r="D142" i="6"/>
  <c r="B142" i="6"/>
  <c r="G141" i="6"/>
  <c r="F141" i="6"/>
  <c r="E141" i="6"/>
  <c r="D141" i="6"/>
  <c r="B141" i="6"/>
  <c r="G140" i="6"/>
  <c r="F140" i="6"/>
  <c r="E140" i="6"/>
  <c r="D140" i="6"/>
  <c r="B140" i="6"/>
  <c r="G139" i="6"/>
  <c r="F139" i="6"/>
  <c r="E139" i="6"/>
  <c r="D139" i="6"/>
  <c r="B139" i="6"/>
  <c r="G138" i="6"/>
  <c r="F138" i="6"/>
  <c r="E138" i="6"/>
  <c r="D138" i="6"/>
  <c r="B138" i="6"/>
  <c r="G137" i="6"/>
  <c r="F137" i="6"/>
  <c r="E137" i="6"/>
  <c r="D137" i="6"/>
  <c r="B137" i="6"/>
  <c r="G136" i="6"/>
  <c r="F136" i="6"/>
  <c r="E136" i="6"/>
  <c r="D136" i="6"/>
  <c r="B136" i="6"/>
  <c r="G135" i="6"/>
  <c r="F135" i="6"/>
  <c r="E135" i="6"/>
  <c r="D135" i="6"/>
  <c r="B135" i="6"/>
  <c r="G134" i="6"/>
  <c r="F134" i="6"/>
  <c r="E134" i="6"/>
  <c r="D134" i="6"/>
  <c r="B134" i="6"/>
  <c r="A133" i="6"/>
  <c r="G131" i="6"/>
  <c r="F131" i="6"/>
  <c r="E131" i="6"/>
  <c r="D131" i="6"/>
  <c r="B131" i="6"/>
  <c r="G130" i="6"/>
  <c r="F130" i="6"/>
  <c r="E130" i="6"/>
  <c r="D130" i="6"/>
  <c r="B130" i="6"/>
  <c r="G129" i="6"/>
  <c r="F129" i="6"/>
  <c r="E129" i="6"/>
  <c r="D129" i="6"/>
  <c r="B129" i="6"/>
  <c r="G128" i="6"/>
  <c r="F128" i="6"/>
  <c r="E128" i="6"/>
  <c r="D128" i="6"/>
  <c r="B128" i="6"/>
  <c r="G127" i="6"/>
  <c r="F127" i="6"/>
  <c r="E127" i="6"/>
  <c r="D127" i="6"/>
  <c r="B127" i="6"/>
  <c r="G126" i="6"/>
  <c r="F126" i="6"/>
  <c r="E126" i="6"/>
  <c r="D126" i="6"/>
  <c r="B126" i="6"/>
  <c r="G125" i="6"/>
  <c r="F125" i="6"/>
  <c r="E125" i="6"/>
  <c r="D125" i="6"/>
  <c r="B125" i="6"/>
  <c r="G124" i="6"/>
  <c r="F124" i="6"/>
  <c r="E124" i="6"/>
  <c r="D124" i="6"/>
  <c r="B124" i="6"/>
  <c r="G123" i="6"/>
  <c r="F123" i="6"/>
  <c r="E123" i="6"/>
  <c r="D123" i="6"/>
  <c r="B123" i="6"/>
  <c r="G122" i="6"/>
  <c r="F122" i="6"/>
  <c r="E122" i="6"/>
  <c r="D122" i="6"/>
  <c r="B122" i="6"/>
  <c r="G121" i="6"/>
  <c r="F121" i="6"/>
  <c r="E121" i="6"/>
  <c r="D121" i="6"/>
  <c r="B121" i="6"/>
  <c r="G120" i="6"/>
  <c r="F120" i="6"/>
  <c r="E120" i="6"/>
  <c r="D120" i="6"/>
  <c r="B120" i="6"/>
  <c r="G119" i="6"/>
  <c r="F119" i="6"/>
  <c r="E119" i="6"/>
  <c r="D119" i="6"/>
  <c r="B119" i="6"/>
  <c r="G118" i="6"/>
  <c r="F118" i="6"/>
  <c r="E118" i="6"/>
  <c r="D118" i="6"/>
  <c r="B118" i="6"/>
  <c r="G117" i="6"/>
  <c r="F117" i="6"/>
  <c r="E117" i="6"/>
  <c r="D117" i="6"/>
  <c r="B117" i="6"/>
  <c r="G116" i="6"/>
  <c r="F116" i="6"/>
  <c r="E116" i="6"/>
  <c r="D116" i="6"/>
  <c r="B116" i="6"/>
  <c r="G115" i="6"/>
  <c r="F115" i="6"/>
  <c r="E115" i="6"/>
  <c r="D115" i="6"/>
  <c r="B115" i="6"/>
  <c r="G114" i="6"/>
  <c r="F114" i="6"/>
  <c r="E114" i="6"/>
  <c r="D114" i="6"/>
  <c r="B114" i="6"/>
  <c r="G113" i="6"/>
  <c r="F113" i="6"/>
  <c r="E113" i="6"/>
  <c r="D113" i="6"/>
  <c r="B113" i="6"/>
  <c r="G112" i="6"/>
  <c r="F112" i="6"/>
  <c r="E112" i="6"/>
  <c r="D112" i="6"/>
  <c r="B112" i="6"/>
  <c r="G111" i="6"/>
  <c r="F111" i="6"/>
  <c r="E111" i="6"/>
  <c r="D111" i="6"/>
  <c r="B111" i="6"/>
  <c r="G110" i="6"/>
  <c r="F110" i="6"/>
  <c r="E110" i="6"/>
  <c r="D110" i="6"/>
  <c r="B110" i="6"/>
  <c r="G109" i="6"/>
  <c r="F109" i="6"/>
  <c r="E109" i="6"/>
  <c r="D109" i="6"/>
  <c r="B109" i="6"/>
  <c r="G108" i="6"/>
  <c r="F108" i="6"/>
  <c r="E108" i="6"/>
  <c r="D108" i="6"/>
  <c r="B108" i="6"/>
  <c r="G107" i="6"/>
  <c r="F107" i="6"/>
  <c r="E107" i="6"/>
  <c r="D107" i="6"/>
  <c r="B107" i="6"/>
  <c r="G106" i="6"/>
  <c r="F106" i="6"/>
  <c r="E106" i="6"/>
  <c r="D106" i="6"/>
  <c r="B106" i="6"/>
  <c r="G105" i="6"/>
  <c r="F105" i="6"/>
  <c r="E105" i="6"/>
  <c r="D105" i="6"/>
  <c r="B105" i="6"/>
  <c r="G104" i="6"/>
  <c r="F104" i="6"/>
  <c r="E104" i="6"/>
  <c r="D104" i="6"/>
  <c r="B104" i="6"/>
  <c r="G103" i="6"/>
  <c r="F103" i="6"/>
  <c r="E103" i="6"/>
  <c r="D103" i="6"/>
  <c r="B103" i="6"/>
  <c r="G102" i="6"/>
  <c r="F102" i="6"/>
  <c r="E102" i="6"/>
  <c r="D102" i="6"/>
  <c r="B102" i="6"/>
  <c r="G101" i="6"/>
  <c r="F101" i="6"/>
  <c r="E101" i="6"/>
  <c r="D101" i="6"/>
  <c r="B101" i="6"/>
  <c r="G100" i="6"/>
  <c r="F100" i="6"/>
  <c r="E100" i="6"/>
  <c r="D100" i="6"/>
  <c r="B100" i="6"/>
  <c r="G99" i="6"/>
  <c r="F99" i="6"/>
  <c r="E99" i="6"/>
  <c r="D99" i="6"/>
  <c r="B99" i="6"/>
  <c r="G98" i="6"/>
  <c r="F98" i="6"/>
  <c r="E98" i="6"/>
  <c r="D98" i="6"/>
  <c r="B98" i="6"/>
  <c r="G97" i="6"/>
  <c r="F97" i="6"/>
  <c r="E97" i="6"/>
  <c r="D97" i="6"/>
  <c r="B97" i="6"/>
  <c r="G96" i="6"/>
  <c r="F96" i="6"/>
  <c r="E96" i="6"/>
  <c r="D96" i="6"/>
  <c r="B96" i="6"/>
  <c r="G95" i="6"/>
  <c r="F95" i="6"/>
  <c r="E95" i="6"/>
  <c r="D95" i="6"/>
  <c r="B95" i="6"/>
  <c r="G94" i="6"/>
  <c r="F94" i="6"/>
  <c r="E94" i="6"/>
  <c r="D94" i="6"/>
  <c r="B94" i="6"/>
  <c r="G93" i="6"/>
  <c r="F93" i="6"/>
  <c r="E93" i="6"/>
  <c r="D93" i="6"/>
  <c r="B93" i="6"/>
  <c r="G92" i="6"/>
  <c r="F92" i="6"/>
  <c r="E92" i="6"/>
  <c r="D92" i="6"/>
  <c r="B92" i="6"/>
  <c r="G91" i="6"/>
  <c r="F91" i="6"/>
  <c r="E91" i="6"/>
  <c r="D91" i="6"/>
  <c r="B91" i="6"/>
  <c r="G90" i="6"/>
  <c r="F90" i="6"/>
  <c r="E90" i="6"/>
  <c r="D90" i="6"/>
  <c r="B90" i="6"/>
  <c r="G89" i="6"/>
  <c r="F89" i="6"/>
  <c r="E89" i="6"/>
  <c r="D89" i="6"/>
  <c r="B89" i="6"/>
  <c r="G88" i="6"/>
  <c r="F88" i="6"/>
  <c r="E88" i="6"/>
  <c r="D88" i="6"/>
  <c r="B88" i="6"/>
  <c r="G87" i="6"/>
  <c r="F87" i="6"/>
  <c r="E87" i="6"/>
  <c r="D87" i="6"/>
  <c r="B87" i="6"/>
  <c r="G86" i="6"/>
  <c r="F86" i="6"/>
  <c r="E86" i="6"/>
  <c r="D86" i="6"/>
  <c r="B86" i="6"/>
  <c r="G85" i="6"/>
  <c r="F85" i="6"/>
  <c r="E85" i="6"/>
  <c r="D85" i="6"/>
  <c r="B85" i="6"/>
  <c r="G84" i="6"/>
  <c r="F84" i="6"/>
  <c r="E84" i="6"/>
  <c r="D84" i="6"/>
  <c r="B84" i="6"/>
  <c r="G83" i="6"/>
  <c r="F83" i="6"/>
  <c r="E83" i="6"/>
  <c r="D83" i="6"/>
  <c r="B83" i="6"/>
  <c r="G82" i="6"/>
  <c r="F82" i="6"/>
  <c r="E82" i="6"/>
  <c r="D82" i="6"/>
  <c r="B82" i="6"/>
  <c r="G81" i="6"/>
  <c r="F81" i="6"/>
  <c r="E81" i="6"/>
  <c r="D81" i="6"/>
  <c r="B81" i="6"/>
  <c r="G80" i="6"/>
  <c r="F80" i="6"/>
  <c r="E80" i="6"/>
  <c r="D80" i="6"/>
  <c r="B80" i="6"/>
  <c r="G79" i="6"/>
  <c r="F79" i="6"/>
  <c r="E79" i="6"/>
  <c r="D79" i="6"/>
  <c r="B79" i="6"/>
  <c r="G78" i="6"/>
  <c r="F78" i="6"/>
  <c r="E78" i="6"/>
  <c r="D78" i="6"/>
  <c r="B78" i="6"/>
  <c r="G77" i="6"/>
  <c r="F77" i="6"/>
  <c r="E77" i="6"/>
  <c r="D77" i="6"/>
  <c r="B77" i="6"/>
  <c r="G76" i="6"/>
  <c r="F76" i="6"/>
  <c r="E76" i="6"/>
  <c r="D76" i="6"/>
  <c r="B76" i="6"/>
  <c r="G75" i="6"/>
  <c r="F75" i="6"/>
  <c r="E75" i="6"/>
  <c r="D75" i="6"/>
  <c r="B75" i="6"/>
  <c r="G74" i="6"/>
  <c r="F74" i="6"/>
  <c r="E74" i="6"/>
  <c r="D74" i="6"/>
  <c r="B74" i="6"/>
  <c r="G73" i="6"/>
  <c r="F73" i="6"/>
  <c r="E73" i="6"/>
  <c r="D73" i="6"/>
  <c r="B73" i="6"/>
  <c r="G72" i="6"/>
  <c r="F72" i="6"/>
  <c r="E72" i="6"/>
  <c r="D72" i="6"/>
  <c r="B72" i="6"/>
  <c r="G71" i="6"/>
  <c r="F71" i="6"/>
  <c r="E71" i="6"/>
  <c r="D71" i="6"/>
  <c r="B71" i="6"/>
  <c r="G70" i="6"/>
  <c r="F70" i="6"/>
  <c r="E70" i="6"/>
  <c r="D70" i="6"/>
  <c r="B70" i="6"/>
  <c r="G69" i="6"/>
  <c r="F69" i="6"/>
  <c r="E69" i="6"/>
  <c r="D69" i="6"/>
  <c r="B69" i="6"/>
  <c r="G68" i="6"/>
  <c r="F68" i="6"/>
  <c r="E68" i="6"/>
  <c r="D68" i="6"/>
  <c r="B68" i="6"/>
  <c r="G67" i="6"/>
  <c r="F67" i="6"/>
  <c r="E67" i="6"/>
  <c r="D67" i="6"/>
  <c r="B67" i="6"/>
  <c r="G66" i="6"/>
  <c r="F66" i="6"/>
  <c r="E66" i="6"/>
  <c r="D66" i="6"/>
  <c r="B66" i="6"/>
  <c r="G65" i="6"/>
  <c r="F65" i="6"/>
  <c r="E65" i="6"/>
  <c r="D65" i="6"/>
  <c r="B65" i="6"/>
  <c r="G64" i="6"/>
  <c r="F64" i="6"/>
  <c r="E64" i="6"/>
  <c r="D64" i="6"/>
  <c r="B64" i="6"/>
  <c r="G63" i="6"/>
  <c r="F63" i="6"/>
  <c r="E63" i="6"/>
  <c r="D63" i="6"/>
  <c r="B63" i="6"/>
  <c r="G62" i="6"/>
  <c r="F62" i="6"/>
  <c r="E62" i="6"/>
  <c r="D62" i="6"/>
  <c r="B62" i="6"/>
  <c r="G61" i="6"/>
  <c r="F61" i="6"/>
  <c r="E61" i="6"/>
  <c r="D61" i="6"/>
  <c r="B61" i="6"/>
  <c r="G60" i="6"/>
  <c r="F60" i="6"/>
  <c r="E60" i="6"/>
  <c r="D60" i="6"/>
  <c r="B60" i="6"/>
  <c r="G59" i="6"/>
  <c r="F59" i="6"/>
  <c r="E59" i="6"/>
  <c r="D59" i="6"/>
  <c r="B59" i="6"/>
  <c r="G58" i="6"/>
  <c r="F58" i="6"/>
  <c r="E58" i="6"/>
  <c r="D58" i="6"/>
  <c r="B58" i="6"/>
  <c r="G57" i="6"/>
  <c r="F57" i="6"/>
  <c r="E57" i="6"/>
  <c r="D57" i="6"/>
  <c r="B57" i="6"/>
  <c r="G56" i="6"/>
  <c r="F56" i="6"/>
  <c r="E56" i="6"/>
  <c r="D56" i="6"/>
  <c r="B56" i="6"/>
  <c r="G55" i="6"/>
  <c r="F55" i="6"/>
  <c r="E55" i="6"/>
  <c r="D55" i="6"/>
  <c r="B55" i="6"/>
  <c r="G54" i="6"/>
  <c r="F54" i="6"/>
  <c r="E54" i="6"/>
  <c r="D54" i="6"/>
  <c r="B54" i="6"/>
  <c r="G53" i="6"/>
  <c r="F53" i="6"/>
  <c r="E53" i="6"/>
  <c r="D53" i="6"/>
  <c r="B53" i="6"/>
  <c r="G52" i="6"/>
  <c r="F52" i="6"/>
  <c r="E52" i="6"/>
  <c r="D52" i="6"/>
  <c r="B52" i="6"/>
  <c r="G51" i="6"/>
  <c r="F51" i="6"/>
  <c r="E51" i="6"/>
  <c r="D51" i="6"/>
  <c r="B51" i="6"/>
  <c r="G50" i="6"/>
  <c r="F50" i="6"/>
  <c r="E50" i="6"/>
  <c r="D50" i="6"/>
  <c r="B50" i="6"/>
  <c r="G49" i="6"/>
  <c r="F49" i="6"/>
  <c r="E49" i="6"/>
  <c r="D49" i="6"/>
  <c r="B49" i="6"/>
  <c r="G48" i="6"/>
  <c r="F48" i="6"/>
  <c r="E48" i="6"/>
  <c r="D48" i="6"/>
  <c r="B48" i="6"/>
  <c r="G47" i="6"/>
  <c r="F47" i="6"/>
  <c r="E47" i="6"/>
  <c r="D47" i="6"/>
  <c r="B47" i="6"/>
  <c r="G46" i="6"/>
  <c r="F46" i="6"/>
  <c r="E46" i="6"/>
  <c r="D46" i="6"/>
  <c r="B46" i="6"/>
  <c r="G45" i="6"/>
  <c r="F45" i="6"/>
  <c r="E45" i="6"/>
  <c r="D45" i="6"/>
  <c r="B45" i="6"/>
  <c r="G44" i="6"/>
  <c r="F44" i="6"/>
  <c r="E44" i="6"/>
  <c r="D44" i="6"/>
  <c r="B44" i="6"/>
  <c r="G43" i="6"/>
  <c r="F43" i="6"/>
  <c r="E43" i="6"/>
  <c r="D43" i="6"/>
  <c r="B43" i="6"/>
  <c r="A42" i="6"/>
  <c r="G40" i="6"/>
  <c r="F40" i="6"/>
  <c r="E40" i="6"/>
  <c r="D40" i="6"/>
  <c r="B40" i="6"/>
  <c r="G39" i="6"/>
  <c r="F39" i="6"/>
  <c r="E39" i="6"/>
  <c r="D39" i="6"/>
  <c r="B39" i="6"/>
  <c r="G38" i="6"/>
  <c r="F38" i="6"/>
  <c r="E38" i="6"/>
  <c r="D38" i="6"/>
  <c r="B38" i="6"/>
  <c r="G37" i="6"/>
  <c r="F37" i="6"/>
  <c r="E37" i="6"/>
  <c r="D37" i="6"/>
  <c r="B37" i="6"/>
  <c r="G36" i="6"/>
  <c r="F36" i="6"/>
  <c r="E36" i="6"/>
  <c r="D36" i="6"/>
  <c r="B36" i="6"/>
  <c r="G35" i="6"/>
  <c r="F35" i="6"/>
  <c r="E35" i="6"/>
  <c r="D35" i="6"/>
  <c r="B35" i="6"/>
  <c r="G34" i="6"/>
  <c r="F34" i="6"/>
  <c r="E34" i="6"/>
  <c r="D34" i="6"/>
  <c r="B34" i="6"/>
  <c r="G33" i="6"/>
  <c r="F33" i="6"/>
  <c r="E33" i="6"/>
  <c r="D33" i="6"/>
  <c r="B33" i="6"/>
  <c r="G32" i="6"/>
  <c r="F32" i="6"/>
  <c r="E32" i="6"/>
  <c r="D32" i="6"/>
  <c r="B32" i="6"/>
  <c r="G31" i="6"/>
  <c r="F31" i="6"/>
  <c r="E31" i="6"/>
  <c r="D31" i="6"/>
  <c r="B31" i="6"/>
  <c r="G30" i="6"/>
  <c r="F30" i="6"/>
  <c r="E30" i="6"/>
  <c r="D30" i="6"/>
  <c r="B30" i="6"/>
  <c r="G29" i="6"/>
  <c r="F29" i="6"/>
  <c r="E29" i="6"/>
  <c r="D29" i="6"/>
  <c r="B29" i="6"/>
  <c r="G28" i="6"/>
  <c r="F28" i="6"/>
  <c r="E28" i="6"/>
  <c r="D28" i="6"/>
  <c r="B28" i="6"/>
  <c r="G27" i="6"/>
  <c r="F27" i="6"/>
  <c r="E27" i="6"/>
  <c r="D27" i="6"/>
  <c r="B27" i="6"/>
  <c r="G26" i="6"/>
  <c r="F26" i="6"/>
  <c r="E26" i="6"/>
  <c r="D26" i="6"/>
  <c r="B26" i="6"/>
  <c r="G25" i="6"/>
  <c r="F25" i="6"/>
  <c r="E25" i="6"/>
  <c r="D25" i="6"/>
  <c r="B25" i="6"/>
  <c r="G24" i="6"/>
  <c r="F24" i="6"/>
  <c r="E24" i="6"/>
  <c r="D24" i="6"/>
  <c r="B24" i="6"/>
  <c r="G23" i="6"/>
  <c r="F23" i="6"/>
  <c r="E23" i="6"/>
  <c r="D23" i="6"/>
  <c r="B23" i="6"/>
  <c r="G22" i="6"/>
  <c r="F22" i="6"/>
  <c r="E22" i="6"/>
  <c r="D22" i="6"/>
  <c r="B22" i="6"/>
  <c r="G21" i="6"/>
  <c r="F21" i="6"/>
  <c r="E21" i="6"/>
  <c r="D21" i="6"/>
  <c r="B21" i="6"/>
  <c r="G20" i="6"/>
  <c r="F20" i="6"/>
  <c r="E20" i="6"/>
  <c r="D20" i="6"/>
  <c r="B20" i="6"/>
  <c r="G19" i="6"/>
  <c r="F19" i="6"/>
  <c r="E19" i="6"/>
  <c r="D19" i="6"/>
  <c r="B19" i="6"/>
  <c r="G18" i="6"/>
  <c r="F18" i="6"/>
  <c r="E18" i="6"/>
  <c r="D18" i="6"/>
  <c r="B18" i="6"/>
  <c r="A17" i="6"/>
  <c r="G15" i="6"/>
  <c r="F15" i="6"/>
  <c r="E15" i="6"/>
  <c r="D15" i="6"/>
  <c r="B15" i="6"/>
  <c r="G14" i="6"/>
  <c r="F14" i="6"/>
  <c r="E14" i="6"/>
  <c r="D14" i="6"/>
  <c r="B14" i="6"/>
  <c r="G13" i="6"/>
  <c r="F13" i="6"/>
  <c r="E13" i="6"/>
  <c r="D13" i="6"/>
  <c r="B13" i="6"/>
  <c r="G12" i="6"/>
  <c r="F12" i="6"/>
  <c r="E12" i="6"/>
  <c r="D12" i="6"/>
  <c r="B12" i="6"/>
  <c r="G11" i="6"/>
  <c r="F11" i="6"/>
  <c r="E11" i="6"/>
  <c r="D11" i="6"/>
  <c r="B11" i="6"/>
  <c r="G10" i="6"/>
  <c r="F10" i="6"/>
  <c r="E10" i="6"/>
  <c r="D10" i="6"/>
  <c r="B10" i="6"/>
  <c r="G9" i="6"/>
  <c r="F9" i="6"/>
  <c r="E9" i="6"/>
  <c r="D9" i="6"/>
  <c r="B9" i="6"/>
  <c r="G8" i="6"/>
  <c r="F8" i="6"/>
  <c r="E8" i="6"/>
  <c r="D8" i="6"/>
  <c r="B8" i="6"/>
  <c r="G7" i="6"/>
  <c r="F7" i="6"/>
  <c r="E7" i="6"/>
  <c r="D7" i="6"/>
  <c r="B7" i="6"/>
  <c r="G6" i="6"/>
  <c r="F6" i="6"/>
  <c r="E6" i="6"/>
  <c r="D6" i="6"/>
  <c r="B6" i="6"/>
  <c r="G5" i="6"/>
  <c r="F5" i="6"/>
  <c r="E5" i="6"/>
  <c r="D5" i="6"/>
  <c r="B5" i="6"/>
  <c r="A4" i="6"/>
  <c r="G3" i="6"/>
  <c r="F3" i="6"/>
  <c r="E3" i="6"/>
  <c r="D3" i="6"/>
  <c r="B3" i="6"/>
  <c r="A3" i="6"/>
  <c r="A2" i="6"/>
  <c r="A1" i="6"/>
  <c r="F10" i="9" l="1"/>
  <c r="B10" i="9"/>
  <c r="F9" i="9"/>
  <c r="B9" i="9"/>
  <c r="F8" i="9"/>
  <c r="B8" i="9"/>
  <c r="F7" i="9"/>
  <c r="B7" i="9"/>
  <c r="F6" i="9"/>
  <c r="B6" i="9"/>
  <c r="F5" i="9"/>
  <c r="B5" i="9"/>
  <c r="F4" i="9"/>
  <c r="B4" i="9"/>
  <c r="A2" i="9"/>
  <c r="A1" i="9"/>
  <c r="F14" i="7"/>
  <c r="E14" i="7"/>
  <c r="D14" i="7"/>
  <c r="C14" i="7"/>
  <c r="B14" i="7"/>
  <c r="F13" i="7"/>
  <c r="E13" i="7"/>
  <c r="D13" i="7"/>
  <c r="C13" i="7"/>
  <c r="B13" i="7"/>
  <c r="F12" i="7"/>
  <c r="E12" i="7"/>
  <c r="D12" i="7"/>
  <c r="C12" i="7"/>
  <c r="B12" i="7"/>
  <c r="F11" i="7"/>
  <c r="E11" i="7"/>
  <c r="D11" i="7"/>
  <c r="C11" i="7"/>
  <c r="B11" i="7"/>
  <c r="F10" i="7"/>
  <c r="E10" i="7"/>
  <c r="D10" i="7"/>
  <c r="C10" i="7"/>
  <c r="B10" i="7"/>
  <c r="F9" i="7"/>
  <c r="E9" i="7"/>
  <c r="D9" i="7"/>
  <c r="C9" i="7"/>
  <c r="B9" i="7"/>
  <c r="F8" i="7"/>
  <c r="E8" i="7"/>
  <c r="D8" i="7"/>
  <c r="C8" i="7"/>
  <c r="B8" i="7"/>
  <c r="F7" i="7"/>
  <c r="E7" i="7"/>
  <c r="D7" i="7"/>
  <c r="C7" i="7"/>
  <c r="B7" i="7"/>
  <c r="F6" i="7"/>
  <c r="E6" i="7"/>
  <c r="D6" i="7"/>
  <c r="C6" i="7"/>
  <c r="B6" i="7"/>
  <c r="F5" i="7"/>
  <c r="E5" i="7"/>
  <c r="D5" i="7"/>
  <c r="C5" i="7"/>
  <c r="B5" i="7"/>
  <c r="A2" i="7"/>
  <c r="A1" i="7"/>
  <c r="G177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A153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A76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A31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A2" i="5"/>
  <c r="A1" i="5"/>
  <c r="A2" i="3" l="1"/>
  <c r="A1" i="3"/>
  <c r="G4" i="3"/>
  <c r="F4" i="3"/>
  <c r="E4" i="3"/>
  <c r="D4" i="3"/>
  <c r="C4" i="3"/>
  <c r="B4" i="3"/>
  <c r="A4" i="3"/>
  <c r="G111" i="3"/>
  <c r="F111" i="3"/>
  <c r="E111" i="3"/>
  <c r="D111" i="3"/>
  <c r="C111" i="3"/>
  <c r="B111" i="3"/>
  <c r="G110" i="3"/>
  <c r="F110" i="3"/>
  <c r="E110" i="3"/>
  <c r="D110" i="3"/>
  <c r="C110" i="3"/>
  <c r="B110" i="3"/>
  <c r="G109" i="3"/>
  <c r="F109" i="3"/>
  <c r="E109" i="3"/>
  <c r="D109" i="3"/>
  <c r="C109" i="3"/>
  <c r="B109" i="3"/>
  <c r="G108" i="3"/>
  <c r="F108" i="3"/>
  <c r="E108" i="3"/>
  <c r="D108" i="3"/>
  <c r="C108" i="3"/>
  <c r="B108" i="3"/>
  <c r="G107" i="3"/>
  <c r="F107" i="3"/>
  <c r="E107" i="3"/>
  <c r="D107" i="3"/>
  <c r="C107" i="3"/>
  <c r="B107" i="3"/>
  <c r="G106" i="3"/>
  <c r="F106" i="3"/>
  <c r="E106" i="3"/>
  <c r="D106" i="3"/>
  <c r="C106" i="3"/>
  <c r="B106" i="3"/>
  <c r="G105" i="3"/>
  <c r="F105" i="3"/>
  <c r="E105" i="3"/>
  <c r="D105" i="3"/>
  <c r="C105" i="3"/>
  <c r="B105" i="3"/>
  <c r="G104" i="3"/>
  <c r="F104" i="3"/>
  <c r="E104" i="3"/>
  <c r="D104" i="3"/>
  <c r="C104" i="3"/>
  <c r="B104" i="3"/>
  <c r="G103" i="3"/>
  <c r="F103" i="3"/>
  <c r="E103" i="3"/>
  <c r="D103" i="3"/>
  <c r="C103" i="3"/>
  <c r="B103" i="3"/>
  <c r="G102" i="3"/>
  <c r="F102" i="3"/>
  <c r="E102" i="3"/>
  <c r="D102" i="3"/>
  <c r="C102" i="3"/>
  <c r="B102" i="3"/>
  <c r="G101" i="3"/>
  <c r="F101" i="3"/>
  <c r="E101" i="3"/>
  <c r="D101" i="3"/>
  <c r="C101" i="3"/>
  <c r="B101" i="3"/>
  <c r="G100" i="3"/>
  <c r="F100" i="3"/>
  <c r="E100" i="3"/>
  <c r="D100" i="3"/>
  <c r="C100" i="3"/>
  <c r="B100" i="3"/>
  <c r="G99" i="3"/>
  <c r="F99" i="3"/>
  <c r="E99" i="3"/>
  <c r="D99" i="3"/>
  <c r="C99" i="3"/>
  <c r="B99" i="3"/>
  <c r="G98" i="3"/>
  <c r="F98" i="3"/>
  <c r="E98" i="3"/>
  <c r="D98" i="3"/>
  <c r="C98" i="3"/>
  <c r="B98" i="3"/>
  <c r="G97" i="3"/>
  <c r="F97" i="3"/>
  <c r="E97" i="3"/>
  <c r="D97" i="3"/>
  <c r="C97" i="3"/>
  <c r="B97" i="3"/>
  <c r="G96" i="3"/>
  <c r="F96" i="3"/>
  <c r="E96" i="3"/>
  <c r="D96" i="3"/>
  <c r="C96" i="3"/>
  <c r="B96" i="3"/>
  <c r="G95" i="3"/>
  <c r="F95" i="3"/>
  <c r="E95" i="3"/>
  <c r="D95" i="3"/>
  <c r="C95" i="3"/>
  <c r="B95" i="3"/>
  <c r="G94" i="3"/>
  <c r="F94" i="3"/>
  <c r="E94" i="3"/>
  <c r="D94" i="3"/>
  <c r="C94" i="3"/>
  <c r="B94" i="3"/>
  <c r="G93" i="3"/>
  <c r="F93" i="3"/>
  <c r="E93" i="3"/>
  <c r="D93" i="3"/>
  <c r="C93" i="3"/>
  <c r="B93" i="3"/>
  <c r="G92" i="3"/>
  <c r="F92" i="3"/>
  <c r="E92" i="3"/>
  <c r="D92" i="3"/>
  <c r="C92" i="3"/>
  <c r="B92" i="3"/>
  <c r="G91" i="3"/>
  <c r="F91" i="3"/>
  <c r="E91" i="3"/>
  <c r="D91" i="3"/>
  <c r="C91" i="3"/>
  <c r="B91" i="3"/>
  <c r="G90" i="3"/>
  <c r="F90" i="3"/>
  <c r="E90" i="3"/>
  <c r="D90" i="3"/>
  <c r="C90" i="3"/>
  <c r="B90" i="3"/>
  <c r="G89" i="3"/>
  <c r="F89" i="3"/>
  <c r="E89" i="3"/>
  <c r="D89" i="3"/>
  <c r="C89" i="3"/>
  <c r="B89" i="3"/>
  <c r="G88" i="3"/>
  <c r="F88" i="3"/>
  <c r="E88" i="3"/>
  <c r="D88" i="3"/>
  <c r="C88" i="3"/>
  <c r="B88" i="3"/>
  <c r="G87" i="3"/>
  <c r="F87" i="3"/>
  <c r="E87" i="3"/>
  <c r="D87" i="3"/>
  <c r="C87" i="3"/>
  <c r="B87" i="3"/>
  <c r="G86" i="3"/>
  <c r="F86" i="3"/>
  <c r="E86" i="3"/>
  <c r="D86" i="3"/>
  <c r="C86" i="3"/>
  <c r="B86" i="3"/>
  <c r="G85" i="3"/>
  <c r="F85" i="3"/>
  <c r="E85" i="3"/>
  <c r="D85" i="3"/>
  <c r="C85" i="3"/>
  <c r="B85" i="3"/>
  <c r="G84" i="3"/>
  <c r="F84" i="3"/>
  <c r="E84" i="3"/>
  <c r="D84" i="3"/>
  <c r="C84" i="3"/>
  <c r="B84" i="3"/>
  <c r="G83" i="3"/>
  <c r="F83" i="3"/>
  <c r="E83" i="3"/>
  <c r="D83" i="3"/>
  <c r="C83" i="3"/>
  <c r="B83" i="3"/>
  <c r="G82" i="3"/>
  <c r="F82" i="3"/>
  <c r="E82" i="3"/>
  <c r="D82" i="3"/>
  <c r="C82" i="3"/>
  <c r="B82" i="3"/>
  <c r="G81" i="3"/>
  <c r="F81" i="3"/>
  <c r="E81" i="3"/>
  <c r="D81" i="3"/>
  <c r="C81" i="3"/>
  <c r="B81" i="3"/>
  <c r="G80" i="3"/>
  <c r="F80" i="3"/>
  <c r="E80" i="3"/>
  <c r="D80" i="3"/>
  <c r="C80" i="3"/>
  <c r="B80" i="3"/>
  <c r="G79" i="3"/>
  <c r="F79" i="3"/>
  <c r="E79" i="3"/>
  <c r="D79" i="3"/>
  <c r="C79" i="3"/>
  <c r="B79" i="3"/>
  <c r="G78" i="3"/>
  <c r="F78" i="3"/>
  <c r="E78" i="3"/>
  <c r="D78" i="3"/>
  <c r="C78" i="3"/>
  <c r="B78" i="3"/>
  <c r="G77" i="3"/>
  <c r="F77" i="3"/>
  <c r="E77" i="3"/>
  <c r="D77" i="3"/>
  <c r="C77" i="3"/>
  <c r="B77" i="3"/>
  <c r="G76" i="3"/>
  <c r="F76" i="3"/>
  <c r="E76" i="3"/>
  <c r="D76" i="3"/>
  <c r="C76" i="3"/>
  <c r="B76" i="3"/>
  <c r="G75" i="3"/>
  <c r="F75" i="3"/>
  <c r="E75" i="3"/>
  <c r="D75" i="3"/>
  <c r="C75" i="3"/>
  <c r="B75" i="3"/>
  <c r="G74" i="3"/>
  <c r="F74" i="3"/>
  <c r="E74" i="3"/>
  <c r="D74" i="3"/>
  <c r="C74" i="3"/>
  <c r="B74" i="3"/>
  <c r="G73" i="3"/>
  <c r="F73" i="3"/>
  <c r="E73" i="3"/>
  <c r="D73" i="3"/>
  <c r="C73" i="3"/>
  <c r="B73" i="3"/>
  <c r="G72" i="3"/>
  <c r="F72" i="3"/>
  <c r="E72" i="3"/>
  <c r="D72" i="3"/>
  <c r="C72" i="3"/>
  <c r="B72" i="3"/>
  <c r="G71" i="3"/>
  <c r="F71" i="3"/>
  <c r="E71" i="3"/>
  <c r="D71" i="3"/>
  <c r="C71" i="3"/>
  <c r="B71" i="3"/>
  <c r="G70" i="3"/>
  <c r="F70" i="3"/>
  <c r="E70" i="3"/>
  <c r="D70" i="3"/>
  <c r="C70" i="3"/>
  <c r="B70" i="3"/>
  <c r="G69" i="3"/>
  <c r="F69" i="3"/>
  <c r="E69" i="3"/>
  <c r="D69" i="3"/>
  <c r="C69" i="3"/>
  <c r="B69" i="3"/>
  <c r="G68" i="3"/>
  <c r="F68" i="3"/>
  <c r="E68" i="3"/>
  <c r="D68" i="3"/>
  <c r="C68" i="3"/>
  <c r="B68" i="3"/>
  <c r="G67" i="3"/>
  <c r="F67" i="3"/>
  <c r="E67" i="3"/>
  <c r="D67" i="3"/>
  <c r="C67" i="3"/>
  <c r="B67" i="3"/>
  <c r="G66" i="3"/>
  <c r="F66" i="3"/>
  <c r="E66" i="3"/>
  <c r="D66" i="3"/>
  <c r="C66" i="3"/>
  <c r="B66" i="3"/>
  <c r="G65" i="3"/>
  <c r="F65" i="3"/>
  <c r="E65" i="3"/>
  <c r="D65" i="3"/>
  <c r="C65" i="3"/>
  <c r="B65" i="3"/>
  <c r="G64" i="3"/>
  <c r="F64" i="3"/>
  <c r="E64" i="3"/>
  <c r="D64" i="3"/>
  <c r="C64" i="3"/>
  <c r="B64" i="3"/>
  <c r="G63" i="3"/>
  <c r="F63" i="3"/>
  <c r="E63" i="3"/>
  <c r="D63" i="3"/>
  <c r="C63" i="3"/>
  <c r="B63" i="3"/>
  <c r="G62" i="3"/>
  <c r="F62" i="3"/>
  <c r="E62" i="3"/>
  <c r="D62" i="3"/>
  <c r="C62" i="3"/>
  <c r="B62" i="3"/>
  <c r="G61" i="3"/>
  <c r="F61" i="3"/>
  <c r="E61" i="3"/>
  <c r="D61" i="3"/>
  <c r="C61" i="3"/>
  <c r="B61" i="3"/>
  <c r="G60" i="3"/>
  <c r="F60" i="3"/>
  <c r="E60" i="3"/>
  <c r="D60" i="3"/>
  <c r="C60" i="3"/>
  <c r="B60" i="3"/>
  <c r="G59" i="3"/>
  <c r="F59" i="3"/>
  <c r="E59" i="3"/>
  <c r="D59" i="3"/>
  <c r="C59" i="3"/>
  <c r="B59" i="3"/>
  <c r="G58" i="3"/>
  <c r="F58" i="3"/>
  <c r="E58" i="3"/>
  <c r="D58" i="3"/>
  <c r="C58" i="3"/>
  <c r="B58" i="3"/>
  <c r="G57" i="3"/>
  <c r="F57" i="3"/>
  <c r="E57" i="3"/>
  <c r="D57" i="3"/>
  <c r="C57" i="3"/>
  <c r="B57" i="3"/>
  <c r="G56" i="3"/>
  <c r="F56" i="3"/>
  <c r="E56" i="3"/>
  <c r="D56" i="3"/>
  <c r="C56" i="3"/>
  <c r="B56" i="3"/>
  <c r="G55" i="3"/>
  <c r="F55" i="3"/>
  <c r="E55" i="3"/>
  <c r="D55" i="3"/>
  <c r="C55" i="3"/>
  <c r="B55" i="3"/>
  <c r="G54" i="3"/>
  <c r="F54" i="3"/>
  <c r="E54" i="3"/>
  <c r="D54" i="3"/>
  <c r="C54" i="3"/>
  <c r="B54" i="3"/>
  <c r="G53" i="3"/>
  <c r="F53" i="3"/>
  <c r="E53" i="3"/>
  <c r="D53" i="3"/>
  <c r="C53" i="3"/>
  <c r="B53" i="3"/>
  <c r="G52" i="3"/>
  <c r="F52" i="3"/>
  <c r="E52" i="3"/>
  <c r="D52" i="3"/>
  <c r="C52" i="3"/>
  <c r="B52" i="3"/>
  <c r="G51" i="3"/>
  <c r="F51" i="3"/>
  <c r="E51" i="3"/>
  <c r="D51" i="3"/>
  <c r="C51" i="3"/>
  <c r="B51" i="3"/>
  <c r="G50" i="3"/>
  <c r="F50" i="3"/>
  <c r="E50" i="3"/>
  <c r="D50" i="3"/>
  <c r="C50" i="3"/>
  <c r="B50" i="3"/>
  <c r="G49" i="3"/>
  <c r="F49" i="3"/>
  <c r="E49" i="3"/>
  <c r="D49" i="3"/>
  <c r="C49" i="3"/>
  <c r="B49" i="3"/>
  <c r="G48" i="3"/>
  <c r="F48" i="3"/>
  <c r="E48" i="3"/>
  <c r="D48" i="3"/>
  <c r="C48" i="3"/>
  <c r="B48" i="3"/>
  <c r="G47" i="3"/>
  <c r="F47" i="3"/>
  <c r="E47" i="3"/>
  <c r="D47" i="3"/>
  <c r="C47" i="3"/>
  <c r="B47" i="3"/>
  <c r="G46" i="3"/>
  <c r="F46" i="3"/>
  <c r="E46" i="3"/>
  <c r="D46" i="3"/>
  <c r="C46" i="3"/>
  <c r="B46" i="3"/>
  <c r="G45" i="3"/>
  <c r="F45" i="3"/>
  <c r="E45" i="3"/>
  <c r="D45" i="3"/>
  <c r="C45" i="3"/>
  <c r="B45" i="3"/>
  <c r="G44" i="3"/>
  <c r="F44" i="3"/>
  <c r="E44" i="3"/>
  <c r="D44" i="3"/>
  <c r="C44" i="3"/>
  <c r="B44" i="3"/>
  <c r="G43" i="3"/>
  <c r="F43" i="3"/>
  <c r="E43" i="3"/>
  <c r="D43" i="3"/>
  <c r="C43" i="3"/>
  <c r="B43" i="3"/>
  <c r="G42" i="3"/>
  <c r="F42" i="3"/>
  <c r="E42" i="3"/>
  <c r="D42" i="3"/>
  <c r="C42" i="3"/>
  <c r="B42" i="3"/>
  <c r="G41" i="3"/>
  <c r="F41" i="3"/>
  <c r="E41" i="3"/>
  <c r="D41" i="3"/>
  <c r="C41" i="3"/>
  <c r="B41" i="3"/>
  <c r="G40" i="3"/>
  <c r="F40" i="3"/>
  <c r="E40" i="3"/>
  <c r="D40" i="3"/>
  <c r="C40" i="3"/>
  <c r="B40" i="3"/>
  <c r="G39" i="3"/>
  <c r="F39" i="3"/>
  <c r="E39" i="3"/>
  <c r="D39" i="3"/>
  <c r="C39" i="3"/>
  <c r="B39" i="3"/>
  <c r="G38" i="3"/>
  <c r="F38" i="3"/>
  <c r="E38" i="3"/>
  <c r="D38" i="3"/>
  <c r="C38" i="3"/>
  <c r="B38" i="3"/>
  <c r="G37" i="3"/>
  <c r="F37" i="3"/>
  <c r="E37" i="3"/>
  <c r="D37" i="3"/>
  <c r="C37" i="3"/>
  <c r="B37" i="3"/>
  <c r="G36" i="3"/>
  <c r="F36" i="3"/>
  <c r="E36" i="3"/>
  <c r="D36" i="3"/>
  <c r="C36" i="3"/>
  <c r="B36" i="3"/>
  <c r="G35" i="3"/>
  <c r="F35" i="3"/>
  <c r="E35" i="3"/>
  <c r="D35" i="3"/>
  <c r="C35" i="3"/>
  <c r="B35" i="3"/>
  <c r="G34" i="3"/>
  <c r="F34" i="3"/>
  <c r="E34" i="3"/>
  <c r="D34" i="3"/>
  <c r="C34" i="3"/>
  <c r="B34" i="3"/>
  <c r="G33" i="3"/>
  <c r="F33" i="3"/>
  <c r="E33" i="3"/>
  <c r="D33" i="3"/>
  <c r="C33" i="3"/>
  <c r="B33" i="3"/>
  <c r="G32" i="3"/>
  <c r="F32" i="3"/>
  <c r="E32" i="3"/>
  <c r="D32" i="3"/>
  <c r="C32" i="3"/>
  <c r="B32" i="3"/>
  <c r="G31" i="3"/>
  <c r="F31" i="3"/>
  <c r="E31" i="3"/>
  <c r="D31" i="3"/>
  <c r="C31" i="3"/>
  <c r="B31" i="3"/>
  <c r="G30" i="3"/>
  <c r="F30" i="3"/>
  <c r="E30" i="3"/>
  <c r="D30" i="3"/>
  <c r="C30" i="3"/>
  <c r="B30" i="3"/>
  <c r="G29" i="3"/>
  <c r="F29" i="3"/>
  <c r="E29" i="3"/>
  <c r="D29" i="3"/>
  <c r="C29" i="3"/>
  <c r="B29" i="3"/>
  <c r="G28" i="3"/>
  <c r="F28" i="3"/>
  <c r="E28" i="3"/>
  <c r="D28" i="3"/>
  <c r="C28" i="3"/>
  <c r="B28" i="3"/>
  <c r="G27" i="3"/>
  <c r="F27" i="3"/>
  <c r="E27" i="3"/>
  <c r="D27" i="3"/>
  <c r="C27" i="3"/>
  <c r="B27" i="3"/>
  <c r="G26" i="3"/>
  <c r="F26" i="3"/>
  <c r="E26" i="3"/>
  <c r="D26" i="3"/>
  <c r="C26" i="3"/>
  <c r="B26" i="3"/>
  <c r="G25" i="3"/>
  <c r="F25" i="3"/>
  <c r="E25" i="3"/>
  <c r="D25" i="3"/>
  <c r="C25" i="3"/>
  <c r="B25" i="3"/>
  <c r="G24" i="3"/>
  <c r="F24" i="3"/>
  <c r="E24" i="3"/>
  <c r="D24" i="3"/>
  <c r="C24" i="3"/>
  <c r="B24" i="3"/>
  <c r="G23" i="3"/>
  <c r="F23" i="3"/>
  <c r="E23" i="3"/>
  <c r="D23" i="3"/>
  <c r="C23" i="3"/>
  <c r="B23" i="3"/>
  <c r="G22" i="3"/>
  <c r="F22" i="3"/>
  <c r="E22" i="3"/>
  <c r="D22" i="3"/>
  <c r="C22" i="3"/>
  <c r="B22" i="3"/>
  <c r="G21" i="3"/>
  <c r="F21" i="3"/>
  <c r="E21" i="3"/>
  <c r="D21" i="3"/>
  <c r="C21" i="3"/>
  <c r="B21" i="3"/>
  <c r="G20" i="3"/>
  <c r="F20" i="3"/>
  <c r="E20" i="3"/>
  <c r="D20" i="3"/>
  <c r="C20" i="3"/>
  <c r="B20" i="3"/>
  <c r="G19" i="3"/>
  <c r="F19" i="3"/>
  <c r="E19" i="3"/>
  <c r="D19" i="3"/>
  <c r="C19" i="3"/>
  <c r="B19" i="3"/>
  <c r="G18" i="3"/>
  <c r="F18" i="3"/>
  <c r="E18" i="3"/>
  <c r="D18" i="3"/>
  <c r="C18" i="3"/>
  <c r="B18" i="3"/>
  <c r="G17" i="3"/>
  <c r="F17" i="3"/>
  <c r="E17" i="3"/>
  <c r="D17" i="3"/>
  <c r="C17" i="3"/>
  <c r="B17" i="3"/>
  <c r="G16" i="3"/>
  <c r="F16" i="3"/>
  <c r="E16" i="3"/>
  <c r="D16" i="3"/>
  <c r="C16" i="3"/>
  <c r="B16" i="3"/>
  <c r="G15" i="3"/>
  <c r="F15" i="3"/>
  <c r="E15" i="3"/>
  <c r="D15" i="3"/>
  <c r="C15" i="3"/>
  <c r="B15" i="3"/>
  <c r="G14" i="3"/>
  <c r="F14" i="3"/>
  <c r="E14" i="3"/>
  <c r="D14" i="3"/>
  <c r="C14" i="3"/>
  <c r="B14" i="3"/>
  <c r="G13" i="3"/>
  <c r="F13" i="3"/>
  <c r="E13" i="3"/>
  <c r="D13" i="3"/>
  <c r="C13" i="3"/>
  <c r="B13" i="3"/>
  <c r="G12" i="3"/>
  <c r="F12" i="3"/>
  <c r="E12" i="3"/>
  <c r="D12" i="3"/>
  <c r="C12" i="3"/>
  <c r="B12" i="3"/>
  <c r="G11" i="3"/>
  <c r="F11" i="3"/>
  <c r="E11" i="3"/>
  <c r="D11" i="3"/>
  <c r="C11" i="3"/>
  <c r="B11" i="3"/>
  <c r="G10" i="3"/>
  <c r="F10" i="3"/>
  <c r="E10" i="3"/>
  <c r="D10" i="3"/>
  <c r="C10" i="3"/>
  <c r="B10" i="3"/>
  <c r="G9" i="3"/>
  <c r="F9" i="3"/>
  <c r="E9" i="3"/>
  <c r="D9" i="3"/>
  <c r="C9" i="3"/>
  <c r="B9" i="3"/>
  <c r="G8" i="3"/>
  <c r="F8" i="3"/>
  <c r="E8" i="3"/>
  <c r="D8" i="3"/>
  <c r="C8" i="3"/>
  <c r="B8" i="3"/>
  <c r="G7" i="3"/>
  <c r="F7" i="3"/>
  <c r="E7" i="3"/>
  <c r="D7" i="3"/>
  <c r="C7" i="3"/>
  <c r="B7" i="3"/>
  <c r="G6" i="3"/>
  <c r="F6" i="3"/>
  <c r="E6" i="3"/>
  <c r="D6" i="3"/>
  <c r="C6" i="3"/>
  <c r="B6" i="3"/>
  <c r="G5" i="3"/>
  <c r="F5" i="3"/>
  <c r="E5" i="3"/>
  <c r="D5" i="3"/>
  <c r="C5" i="3"/>
  <c r="B5" i="3"/>
  <c r="A3" i="3"/>
  <c r="A1" i="4"/>
  <c r="A2" i="4"/>
  <c r="A3" i="4"/>
  <c r="A4" i="4"/>
  <c r="B4" i="4"/>
  <c r="C4" i="4"/>
  <c r="D4" i="4"/>
  <c r="E4" i="4"/>
  <c r="F4" i="4"/>
  <c r="G4" i="4"/>
  <c r="B5" i="4"/>
  <c r="C5" i="4"/>
  <c r="D5" i="4"/>
  <c r="E5" i="4"/>
  <c r="F5" i="4"/>
  <c r="G5" i="4"/>
  <c r="B6" i="4"/>
  <c r="C6" i="4"/>
  <c r="D6" i="4"/>
  <c r="E6" i="4"/>
  <c r="F6" i="4"/>
  <c r="G6" i="4"/>
  <c r="B7" i="4"/>
  <c r="C7" i="4"/>
  <c r="D7" i="4"/>
  <c r="E7" i="4"/>
  <c r="F7" i="4"/>
  <c r="G7" i="4"/>
  <c r="B8" i="4"/>
  <c r="C8" i="4"/>
  <c r="D8" i="4"/>
  <c r="E8" i="4"/>
  <c r="F8" i="4"/>
  <c r="G8" i="4"/>
  <c r="B9" i="4"/>
  <c r="C9" i="4"/>
  <c r="D9" i="4"/>
  <c r="E9" i="4"/>
  <c r="F9" i="4"/>
  <c r="G9" i="4"/>
  <c r="B10" i="4"/>
  <c r="C10" i="4"/>
  <c r="D10" i="4"/>
  <c r="E10" i="4"/>
  <c r="F10" i="4"/>
  <c r="G10" i="4"/>
  <c r="B11" i="4"/>
  <c r="C11" i="4"/>
  <c r="D11" i="4"/>
  <c r="E11" i="4"/>
  <c r="F11" i="4"/>
  <c r="G11" i="4"/>
  <c r="B12" i="4"/>
  <c r="C12" i="4"/>
  <c r="D12" i="4"/>
  <c r="E12" i="4"/>
  <c r="F12" i="4"/>
  <c r="G12" i="4"/>
  <c r="B13" i="4"/>
  <c r="C13" i="4"/>
  <c r="D13" i="4"/>
  <c r="E13" i="4"/>
  <c r="F13" i="4"/>
  <c r="G13" i="4"/>
  <c r="B14" i="4"/>
  <c r="C14" i="4"/>
  <c r="D14" i="4"/>
  <c r="E14" i="4"/>
  <c r="F14" i="4"/>
  <c r="G14" i="4"/>
  <c r="B15" i="4"/>
  <c r="C15" i="4"/>
  <c r="D15" i="4"/>
  <c r="E15" i="4"/>
  <c r="F15" i="4"/>
  <c r="G15" i="4"/>
  <c r="B16" i="4"/>
  <c r="C16" i="4"/>
  <c r="D16" i="4"/>
  <c r="E16" i="4"/>
  <c r="F16" i="4"/>
  <c r="G16" i="4"/>
  <c r="B17" i="4"/>
  <c r="C17" i="4"/>
  <c r="D17" i="4"/>
  <c r="E17" i="4"/>
  <c r="F17" i="4"/>
  <c r="G17" i="4"/>
  <c r="B18" i="4"/>
  <c r="C18" i="4"/>
  <c r="D18" i="4"/>
  <c r="E18" i="4"/>
  <c r="F18" i="4"/>
  <c r="G18" i="4"/>
  <c r="B19" i="4"/>
  <c r="C19" i="4"/>
  <c r="D19" i="4"/>
  <c r="E19" i="4"/>
  <c r="F19" i="4"/>
  <c r="G19" i="4"/>
  <c r="B20" i="4"/>
  <c r="C20" i="4"/>
  <c r="D20" i="4"/>
  <c r="E20" i="4"/>
  <c r="F20" i="4"/>
  <c r="G20" i="4"/>
  <c r="B21" i="4"/>
  <c r="C21" i="4"/>
  <c r="D21" i="4"/>
  <c r="E21" i="4"/>
  <c r="F21" i="4"/>
  <c r="G21" i="4"/>
  <c r="B22" i="4"/>
  <c r="C22" i="4"/>
  <c r="D22" i="4"/>
  <c r="E22" i="4"/>
  <c r="F22" i="4"/>
  <c r="G22" i="4"/>
  <c r="B23" i="4"/>
  <c r="C23" i="4"/>
  <c r="D23" i="4"/>
  <c r="E23" i="4"/>
  <c r="F23" i="4"/>
  <c r="G23" i="4"/>
  <c r="B24" i="4"/>
  <c r="C24" i="4"/>
  <c r="D24" i="4"/>
  <c r="E24" i="4"/>
  <c r="F24" i="4"/>
  <c r="G24" i="4"/>
  <c r="B25" i="4"/>
  <c r="C25" i="4"/>
  <c r="D25" i="4"/>
  <c r="E25" i="4"/>
  <c r="F25" i="4"/>
  <c r="G25" i="4"/>
  <c r="B26" i="4"/>
  <c r="C26" i="4"/>
  <c r="D26" i="4"/>
  <c r="E26" i="4"/>
  <c r="F26" i="4"/>
  <c r="G26" i="4"/>
  <c r="B27" i="4"/>
  <c r="C27" i="4"/>
  <c r="D27" i="4"/>
  <c r="E27" i="4"/>
  <c r="F27" i="4"/>
  <c r="G27" i="4"/>
  <c r="B28" i="4"/>
  <c r="C28" i="4"/>
  <c r="D28" i="4"/>
  <c r="E28" i="4"/>
  <c r="F28" i="4"/>
  <c r="G28" i="4"/>
  <c r="B29" i="4"/>
  <c r="C29" i="4"/>
  <c r="D29" i="4"/>
  <c r="E29" i="4"/>
  <c r="F29" i="4"/>
  <c r="G29" i="4"/>
  <c r="B30" i="4"/>
  <c r="C30" i="4"/>
  <c r="D30" i="4"/>
  <c r="E30" i="4"/>
  <c r="F30" i="4"/>
  <c r="G30" i="4"/>
  <c r="B31" i="4"/>
  <c r="C31" i="4"/>
  <c r="D31" i="4"/>
  <c r="E31" i="4"/>
  <c r="F31" i="4"/>
  <c r="G31" i="4"/>
  <c r="B32" i="4"/>
  <c r="C32" i="4"/>
  <c r="D32" i="4"/>
  <c r="E32" i="4"/>
  <c r="F32" i="4"/>
  <c r="G32" i="4"/>
  <c r="B33" i="4"/>
  <c r="C33" i="4"/>
  <c r="D33" i="4"/>
  <c r="E33" i="4"/>
  <c r="F33" i="4"/>
  <c r="G33" i="4"/>
  <c r="B34" i="4"/>
  <c r="C34" i="4"/>
  <c r="D34" i="4"/>
  <c r="E34" i="4"/>
  <c r="F34" i="4"/>
  <c r="G34" i="4"/>
  <c r="B35" i="4"/>
  <c r="C35" i="4"/>
  <c r="D35" i="4"/>
  <c r="E35" i="4"/>
  <c r="F35" i="4"/>
  <c r="G35" i="4"/>
  <c r="B36" i="4"/>
  <c r="C36" i="4"/>
  <c r="D36" i="4"/>
  <c r="E36" i="4"/>
  <c r="F36" i="4"/>
  <c r="G36" i="4"/>
  <c r="B37" i="4"/>
  <c r="C37" i="4"/>
  <c r="D37" i="4"/>
  <c r="E37" i="4"/>
  <c r="F37" i="4"/>
  <c r="G37" i="4"/>
  <c r="B38" i="4"/>
  <c r="C38" i="4"/>
  <c r="D38" i="4"/>
  <c r="E38" i="4"/>
  <c r="F38" i="4"/>
  <c r="G38" i="4"/>
  <c r="B39" i="4"/>
  <c r="C39" i="4"/>
  <c r="D39" i="4"/>
  <c r="E39" i="4"/>
  <c r="F39" i="4"/>
  <c r="G39" i="4"/>
  <c r="B40" i="4"/>
  <c r="C40" i="4"/>
  <c r="D40" i="4"/>
  <c r="E40" i="4"/>
  <c r="F40" i="4"/>
  <c r="G40" i="4"/>
  <c r="B41" i="4"/>
  <c r="C41" i="4"/>
  <c r="D41" i="4"/>
  <c r="E41" i="4"/>
  <c r="F41" i="4"/>
  <c r="G41" i="4"/>
  <c r="B42" i="4"/>
  <c r="C42" i="4"/>
  <c r="D42" i="4"/>
  <c r="E42" i="4"/>
  <c r="F42" i="4"/>
  <c r="G42" i="4"/>
  <c r="B43" i="4"/>
  <c r="C43" i="4"/>
  <c r="D43" i="4"/>
  <c r="E43" i="4"/>
  <c r="F43" i="4"/>
  <c r="G43" i="4"/>
  <c r="B44" i="4"/>
  <c r="C44" i="4"/>
  <c r="D44" i="4"/>
  <c r="E44" i="4"/>
  <c r="F44" i="4"/>
  <c r="G44" i="4"/>
  <c r="B45" i="4"/>
  <c r="C45" i="4"/>
  <c r="D45" i="4"/>
  <c r="E45" i="4"/>
  <c r="F45" i="4"/>
  <c r="G45" i="4"/>
  <c r="B46" i="4"/>
  <c r="C46" i="4"/>
  <c r="D46" i="4"/>
  <c r="E46" i="4"/>
  <c r="F46" i="4"/>
  <c r="G46" i="4"/>
  <c r="B47" i="4"/>
  <c r="C47" i="4"/>
  <c r="D47" i="4"/>
  <c r="E47" i="4"/>
  <c r="F47" i="4"/>
  <c r="G47" i="4"/>
  <c r="B48" i="4"/>
  <c r="C48" i="4"/>
  <c r="D48" i="4"/>
  <c r="E48" i="4"/>
  <c r="F48" i="4"/>
  <c r="G48" i="4"/>
  <c r="B49" i="4"/>
  <c r="C49" i="4"/>
  <c r="D49" i="4"/>
  <c r="E49" i="4"/>
  <c r="F49" i="4"/>
  <c r="G49" i="4"/>
  <c r="B50" i="4"/>
  <c r="C50" i="4"/>
  <c r="D50" i="4"/>
  <c r="E50" i="4"/>
  <c r="F50" i="4"/>
  <c r="G50" i="4"/>
  <c r="B51" i="4"/>
  <c r="C51" i="4"/>
  <c r="D51" i="4"/>
  <c r="E51" i="4"/>
  <c r="F51" i="4"/>
  <c r="G51" i="4"/>
  <c r="B52" i="4"/>
  <c r="C52" i="4"/>
  <c r="D52" i="4"/>
  <c r="E52" i="4"/>
  <c r="F52" i="4"/>
  <c r="G52" i="4"/>
  <c r="B53" i="4"/>
  <c r="C53" i="4"/>
  <c r="D53" i="4"/>
  <c r="E53" i="4"/>
  <c r="F53" i="4"/>
  <c r="G53" i="4"/>
  <c r="B54" i="4"/>
  <c r="C54" i="4"/>
  <c r="D54" i="4"/>
  <c r="E54" i="4"/>
  <c r="F54" i="4"/>
  <c r="G54" i="4"/>
  <c r="B55" i="4"/>
  <c r="C55" i="4"/>
  <c r="D55" i="4"/>
  <c r="E55" i="4"/>
  <c r="F55" i="4"/>
  <c r="G55" i="4"/>
  <c r="B56" i="4"/>
  <c r="C56" i="4"/>
  <c r="D56" i="4"/>
  <c r="E56" i="4"/>
  <c r="F56" i="4"/>
  <c r="G56" i="4"/>
  <c r="B57" i="4"/>
  <c r="C57" i="4"/>
  <c r="D57" i="4"/>
  <c r="E57" i="4"/>
  <c r="F57" i="4"/>
  <c r="G57" i="4"/>
  <c r="B58" i="4"/>
  <c r="C58" i="4"/>
  <c r="D58" i="4"/>
  <c r="E58" i="4"/>
  <c r="F58" i="4"/>
  <c r="G58" i="4"/>
  <c r="B59" i="4"/>
  <c r="C59" i="4"/>
  <c r="D59" i="4"/>
  <c r="E59" i="4"/>
  <c r="F59" i="4"/>
  <c r="G59" i="4"/>
  <c r="B60" i="4"/>
  <c r="C60" i="4"/>
  <c r="D60" i="4"/>
  <c r="E60" i="4"/>
  <c r="F60" i="4"/>
  <c r="G60" i="4"/>
  <c r="B61" i="4"/>
  <c r="C61" i="4"/>
  <c r="D61" i="4"/>
  <c r="E61" i="4"/>
  <c r="F61" i="4"/>
  <c r="G61" i="4"/>
  <c r="B62" i="4"/>
  <c r="C62" i="4"/>
  <c r="D62" i="4"/>
  <c r="E62" i="4"/>
  <c r="F62" i="4"/>
  <c r="G62" i="4"/>
  <c r="G4" i="2"/>
  <c r="F4" i="2"/>
  <c r="E4" i="2"/>
  <c r="D4" i="2"/>
  <c r="C4" i="2"/>
  <c r="B4" i="2"/>
  <c r="A4" i="2"/>
  <c r="A2" i="2"/>
  <c r="A1" i="2"/>
  <c r="G88" i="2"/>
  <c r="F88" i="2"/>
  <c r="E88" i="2"/>
  <c r="D88" i="2"/>
  <c r="C88" i="2"/>
  <c r="B88" i="2"/>
  <c r="G87" i="2"/>
  <c r="F87" i="2"/>
  <c r="E87" i="2"/>
  <c r="D87" i="2"/>
  <c r="C87" i="2"/>
  <c r="B87" i="2"/>
  <c r="G86" i="2"/>
  <c r="F86" i="2"/>
  <c r="E86" i="2"/>
  <c r="D86" i="2"/>
  <c r="C86" i="2"/>
  <c r="B86" i="2"/>
  <c r="G85" i="2"/>
  <c r="F85" i="2"/>
  <c r="E85" i="2"/>
  <c r="D85" i="2"/>
  <c r="C85" i="2"/>
  <c r="B85" i="2"/>
  <c r="G84" i="2"/>
  <c r="F84" i="2"/>
  <c r="E84" i="2"/>
  <c r="D84" i="2"/>
  <c r="C84" i="2"/>
  <c r="B84" i="2"/>
  <c r="G83" i="2"/>
  <c r="F83" i="2"/>
  <c r="E83" i="2"/>
  <c r="D83" i="2"/>
  <c r="C83" i="2"/>
  <c r="B83" i="2"/>
  <c r="G82" i="2"/>
  <c r="F82" i="2"/>
  <c r="E82" i="2"/>
  <c r="D82" i="2"/>
  <c r="C82" i="2"/>
  <c r="B82" i="2"/>
  <c r="G81" i="2"/>
  <c r="F81" i="2"/>
  <c r="E81" i="2"/>
  <c r="D81" i="2"/>
  <c r="C81" i="2"/>
  <c r="B81" i="2"/>
  <c r="G80" i="2"/>
  <c r="F80" i="2"/>
  <c r="E80" i="2"/>
  <c r="D80" i="2"/>
  <c r="C80" i="2"/>
  <c r="B80" i="2"/>
  <c r="G79" i="2"/>
  <c r="F79" i="2"/>
  <c r="E79" i="2"/>
  <c r="D79" i="2"/>
  <c r="C79" i="2"/>
  <c r="B79" i="2"/>
  <c r="G78" i="2"/>
  <c r="F78" i="2"/>
  <c r="E78" i="2"/>
  <c r="D78" i="2"/>
  <c r="C78" i="2"/>
  <c r="B78" i="2"/>
  <c r="G77" i="2"/>
  <c r="F77" i="2"/>
  <c r="E77" i="2"/>
  <c r="D77" i="2"/>
  <c r="C77" i="2"/>
  <c r="B77" i="2"/>
  <c r="G76" i="2"/>
  <c r="F76" i="2"/>
  <c r="E76" i="2"/>
  <c r="D76" i="2"/>
  <c r="C76" i="2"/>
  <c r="B76" i="2"/>
  <c r="G75" i="2"/>
  <c r="F75" i="2"/>
  <c r="E75" i="2"/>
  <c r="D75" i="2"/>
  <c r="C75" i="2"/>
  <c r="B75" i="2"/>
  <c r="G74" i="2"/>
  <c r="F74" i="2"/>
  <c r="E74" i="2"/>
  <c r="D74" i="2"/>
  <c r="C74" i="2"/>
  <c r="B74" i="2"/>
  <c r="G73" i="2"/>
  <c r="F73" i="2"/>
  <c r="E73" i="2"/>
  <c r="D73" i="2"/>
  <c r="C73" i="2"/>
  <c r="B73" i="2"/>
  <c r="G72" i="2"/>
  <c r="F72" i="2"/>
  <c r="E72" i="2"/>
  <c r="D72" i="2"/>
  <c r="C72" i="2"/>
  <c r="B72" i="2"/>
  <c r="G71" i="2"/>
  <c r="F71" i="2"/>
  <c r="E71" i="2"/>
  <c r="D71" i="2"/>
  <c r="C71" i="2"/>
  <c r="B71" i="2"/>
  <c r="G70" i="2"/>
  <c r="F70" i="2"/>
  <c r="E70" i="2"/>
  <c r="D70" i="2"/>
  <c r="C70" i="2"/>
  <c r="B70" i="2"/>
  <c r="G69" i="2"/>
  <c r="F69" i="2"/>
  <c r="E69" i="2"/>
  <c r="D69" i="2"/>
  <c r="C69" i="2"/>
  <c r="B69" i="2"/>
  <c r="G68" i="2"/>
  <c r="F68" i="2"/>
  <c r="E68" i="2"/>
  <c r="D68" i="2"/>
  <c r="C68" i="2"/>
  <c r="B68" i="2"/>
  <c r="G67" i="2"/>
  <c r="F67" i="2"/>
  <c r="E67" i="2"/>
  <c r="D67" i="2"/>
  <c r="C67" i="2"/>
  <c r="B67" i="2"/>
  <c r="G66" i="2"/>
  <c r="F66" i="2"/>
  <c r="E66" i="2"/>
  <c r="D66" i="2"/>
  <c r="C66" i="2"/>
  <c r="B66" i="2"/>
  <c r="G65" i="2"/>
  <c r="F65" i="2"/>
  <c r="E65" i="2"/>
  <c r="D65" i="2"/>
  <c r="C65" i="2"/>
  <c r="B65" i="2"/>
  <c r="G64" i="2"/>
  <c r="F64" i="2"/>
  <c r="E64" i="2"/>
  <c r="D64" i="2"/>
  <c r="C64" i="2"/>
  <c r="B64" i="2"/>
  <c r="G63" i="2"/>
  <c r="F63" i="2"/>
  <c r="E63" i="2"/>
  <c r="D63" i="2"/>
  <c r="C63" i="2"/>
  <c r="B63" i="2"/>
  <c r="G62" i="2"/>
  <c r="F62" i="2"/>
  <c r="E62" i="2"/>
  <c r="D62" i="2"/>
  <c r="C62" i="2"/>
  <c r="B62" i="2"/>
  <c r="G61" i="2"/>
  <c r="F61" i="2"/>
  <c r="E61" i="2"/>
  <c r="D61" i="2"/>
  <c r="C61" i="2"/>
  <c r="B61" i="2"/>
  <c r="G60" i="2"/>
  <c r="F60" i="2"/>
  <c r="E60" i="2"/>
  <c r="D60" i="2"/>
  <c r="C60" i="2"/>
  <c r="B60" i="2"/>
  <c r="G59" i="2"/>
  <c r="F59" i="2"/>
  <c r="E59" i="2"/>
  <c r="D59" i="2"/>
  <c r="C59" i="2"/>
  <c r="B59" i="2"/>
  <c r="G58" i="2"/>
  <c r="F58" i="2"/>
  <c r="E58" i="2"/>
  <c r="D58" i="2"/>
  <c r="C58" i="2"/>
  <c r="B58" i="2"/>
  <c r="G57" i="2"/>
  <c r="F57" i="2"/>
  <c r="E57" i="2"/>
  <c r="D57" i="2"/>
  <c r="C57" i="2"/>
  <c r="B57" i="2"/>
  <c r="G56" i="2"/>
  <c r="F56" i="2"/>
  <c r="E56" i="2"/>
  <c r="D56" i="2"/>
  <c r="C56" i="2"/>
  <c r="B56" i="2"/>
  <c r="G55" i="2"/>
  <c r="F55" i="2"/>
  <c r="E55" i="2"/>
  <c r="D55" i="2"/>
  <c r="C55" i="2"/>
  <c r="B55" i="2"/>
  <c r="G54" i="2"/>
  <c r="F54" i="2"/>
  <c r="E54" i="2"/>
  <c r="D54" i="2"/>
  <c r="C54" i="2"/>
  <c r="B54" i="2"/>
  <c r="G53" i="2"/>
  <c r="F53" i="2"/>
  <c r="E53" i="2"/>
  <c r="D53" i="2"/>
  <c r="C53" i="2"/>
  <c r="B53" i="2"/>
  <c r="G52" i="2"/>
  <c r="F52" i="2"/>
  <c r="E52" i="2"/>
  <c r="D52" i="2"/>
  <c r="C52" i="2"/>
  <c r="B52" i="2"/>
  <c r="G51" i="2"/>
  <c r="F51" i="2"/>
  <c r="E51" i="2"/>
  <c r="D51" i="2"/>
  <c r="C51" i="2"/>
  <c r="B51" i="2"/>
  <c r="G50" i="2"/>
  <c r="F50" i="2"/>
  <c r="E50" i="2"/>
  <c r="D50" i="2"/>
  <c r="C50" i="2"/>
  <c r="B50" i="2"/>
  <c r="G49" i="2"/>
  <c r="F49" i="2"/>
  <c r="E49" i="2"/>
  <c r="D49" i="2"/>
  <c r="C49" i="2"/>
  <c r="B49" i="2"/>
  <c r="G48" i="2"/>
  <c r="F48" i="2"/>
  <c r="E48" i="2"/>
  <c r="D48" i="2"/>
  <c r="C48" i="2"/>
  <c r="B48" i="2"/>
  <c r="G47" i="2"/>
  <c r="F47" i="2"/>
  <c r="E47" i="2"/>
  <c r="D47" i="2"/>
  <c r="C47" i="2"/>
  <c r="B47" i="2"/>
  <c r="G46" i="2"/>
  <c r="F46" i="2"/>
  <c r="E46" i="2"/>
  <c r="D46" i="2"/>
  <c r="C46" i="2"/>
  <c r="B46" i="2"/>
  <c r="G45" i="2"/>
  <c r="F45" i="2"/>
  <c r="E45" i="2"/>
  <c r="D45" i="2"/>
  <c r="C45" i="2"/>
  <c r="B45" i="2"/>
  <c r="G44" i="2"/>
  <c r="F44" i="2"/>
  <c r="E44" i="2"/>
  <c r="D44" i="2"/>
  <c r="C44" i="2"/>
  <c r="B44" i="2"/>
  <c r="G43" i="2"/>
  <c r="F43" i="2"/>
  <c r="E43" i="2"/>
  <c r="D43" i="2"/>
  <c r="C43" i="2"/>
  <c r="B43" i="2"/>
  <c r="G42" i="2"/>
  <c r="F42" i="2"/>
  <c r="E42" i="2"/>
  <c r="D42" i="2"/>
  <c r="C42" i="2"/>
  <c r="B42" i="2"/>
  <c r="G41" i="2"/>
  <c r="F41" i="2"/>
  <c r="E41" i="2"/>
  <c r="D41" i="2"/>
  <c r="C41" i="2"/>
  <c r="B41" i="2"/>
  <c r="G40" i="2"/>
  <c r="F40" i="2"/>
  <c r="E40" i="2"/>
  <c r="D40" i="2"/>
  <c r="C40" i="2"/>
  <c r="B40" i="2"/>
  <c r="G39" i="2"/>
  <c r="F39" i="2"/>
  <c r="E39" i="2"/>
  <c r="D39" i="2"/>
  <c r="C39" i="2"/>
  <c r="B39" i="2"/>
  <c r="G38" i="2"/>
  <c r="F38" i="2"/>
  <c r="E38" i="2"/>
  <c r="D38" i="2"/>
  <c r="C38" i="2"/>
  <c r="B38" i="2"/>
  <c r="G37" i="2"/>
  <c r="F37" i="2"/>
  <c r="E37" i="2"/>
  <c r="D37" i="2"/>
  <c r="C37" i="2"/>
  <c r="B37" i="2"/>
  <c r="G36" i="2"/>
  <c r="F36" i="2"/>
  <c r="E36" i="2"/>
  <c r="D36" i="2"/>
  <c r="C36" i="2"/>
  <c r="B36" i="2"/>
  <c r="G35" i="2"/>
  <c r="F35" i="2"/>
  <c r="E35" i="2"/>
  <c r="D35" i="2"/>
  <c r="C35" i="2"/>
  <c r="B35" i="2"/>
  <c r="G34" i="2"/>
  <c r="F34" i="2"/>
  <c r="E34" i="2"/>
  <c r="D34" i="2"/>
  <c r="C34" i="2"/>
  <c r="B34" i="2"/>
  <c r="G33" i="2"/>
  <c r="F33" i="2"/>
  <c r="E33" i="2"/>
  <c r="D33" i="2"/>
  <c r="C33" i="2"/>
  <c r="B33" i="2"/>
  <c r="G32" i="2"/>
  <c r="F32" i="2"/>
  <c r="E32" i="2"/>
  <c r="D32" i="2"/>
  <c r="C32" i="2"/>
  <c r="B32" i="2"/>
  <c r="G31" i="2"/>
  <c r="F31" i="2"/>
  <c r="E31" i="2"/>
  <c r="D31" i="2"/>
  <c r="C31" i="2"/>
  <c r="B31" i="2"/>
  <c r="G30" i="2"/>
  <c r="F30" i="2"/>
  <c r="E30" i="2"/>
  <c r="D30" i="2"/>
  <c r="C30" i="2"/>
  <c r="B30" i="2"/>
  <c r="G29" i="2"/>
  <c r="F29" i="2"/>
  <c r="E29" i="2"/>
  <c r="D29" i="2"/>
  <c r="C29" i="2"/>
  <c r="B29" i="2"/>
  <c r="G28" i="2"/>
  <c r="F28" i="2"/>
  <c r="E28" i="2"/>
  <c r="D28" i="2"/>
  <c r="C28" i="2"/>
  <c r="B28" i="2"/>
  <c r="G27" i="2"/>
  <c r="F27" i="2"/>
  <c r="E27" i="2"/>
  <c r="D27" i="2"/>
  <c r="C27" i="2"/>
  <c r="B27" i="2"/>
  <c r="G26" i="2"/>
  <c r="F26" i="2"/>
  <c r="E26" i="2"/>
  <c r="D26" i="2"/>
  <c r="C26" i="2"/>
  <c r="B26" i="2"/>
  <c r="G25" i="2"/>
  <c r="F25" i="2"/>
  <c r="E25" i="2"/>
  <c r="D25" i="2"/>
  <c r="C25" i="2"/>
  <c r="B25" i="2"/>
  <c r="G24" i="2"/>
  <c r="F24" i="2"/>
  <c r="E24" i="2"/>
  <c r="D24" i="2"/>
  <c r="C24" i="2"/>
  <c r="B24" i="2"/>
  <c r="G23" i="2"/>
  <c r="F23" i="2"/>
  <c r="E23" i="2"/>
  <c r="D23" i="2"/>
  <c r="C23" i="2"/>
  <c r="B23" i="2"/>
  <c r="G22" i="2"/>
  <c r="F22" i="2"/>
  <c r="E22" i="2"/>
  <c r="D22" i="2"/>
  <c r="C22" i="2"/>
  <c r="B22" i="2"/>
  <c r="G21" i="2"/>
  <c r="F21" i="2"/>
  <c r="E21" i="2"/>
  <c r="D21" i="2"/>
  <c r="C21" i="2"/>
  <c r="B21" i="2"/>
  <c r="G20" i="2"/>
  <c r="F20" i="2"/>
  <c r="E20" i="2"/>
  <c r="D20" i="2"/>
  <c r="C20" i="2"/>
  <c r="B20" i="2"/>
  <c r="G19" i="2"/>
  <c r="F19" i="2"/>
  <c r="E19" i="2"/>
  <c r="D19" i="2"/>
  <c r="C19" i="2"/>
  <c r="B19" i="2"/>
  <c r="G18" i="2"/>
  <c r="F18" i="2"/>
  <c r="E18" i="2"/>
  <c r="D18" i="2"/>
  <c r="C18" i="2"/>
  <c r="B18" i="2"/>
  <c r="G17" i="2"/>
  <c r="F17" i="2"/>
  <c r="E17" i="2"/>
  <c r="D17" i="2"/>
  <c r="C17" i="2"/>
  <c r="B17" i="2"/>
  <c r="G16" i="2"/>
  <c r="F16" i="2"/>
  <c r="E16" i="2"/>
  <c r="D16" i="2"/>
  <c r="C16" i="2"/>
  <c r="B16" i="2"/>
  <c r="G15" i="2"/>
  <c r="F15" i="2"/>
  <c r="E15" i="2"/>
  <c r="D15" i="2"/>
  <c r="C15" i="2"/>
  <c r="B15" i="2"/>
  <c r="G14" i="2"/>
  <c r="F14" i="2"/>
  <c r="E14" i="2"/>
  <c r="D14" i="2"/>
  <c r="C14" i="2"/>
  <c r="B14" i="2"/>
  <c r="G13" i="2"/>
  <c r="F13" i="2"/>
  <c r="E13" i="2"/>
  <c r="D13" i="2"/>
  <c r="C13" i="2"/>
  <c r="B13" i="2"/>
  <c r="G12" i="2"/>
  <c r="F12" i="2"/>
  <c r="E12" i="2"/>
  <c r="D12" i="2"/>
  <c r="C12" i="2"/>
  <c r="B12" i="2"/>
  <c r="G11" i="2"/>
  <c r="F11" i="2"/>
  <c r="E11" i="2"/>
  <c r="D11" i="2"/>
  <c r="C11" i="2"/>
  <c r="B11" i="2"/>
  <c r="G10" i="2"/>
  <c r="F10" i="2"/>
  <c r="E10" i="2"/>
  <c r="D10" i="2"/>
  <c r="C10" i="2"/>
  <c r="B10" i="2"/>
  <c r="G9" i="2"/>
  <c r="F9" i="2"/>
  <c r="E9" i="2"/>
  <c r="D9" i="2"/>
  <c r="C9" i="2"/>
  <c r="B9" i="2"/>
  <c r="G8" i="2"/>
  <c r="F8" i="2"/>
  <c r="E8" i="2"/>
  <c r="D8" i="2"/>
  <c r="C8" i="2"/>
  <c r="B8" i="2"/>
  <c r="G7" i="2"/>
  <c r="F7" i="2"/>
  <c r="E7" i="2"/>
  <c r="D7" i="2"/>
  <c r="C7" i="2"/>
  <c r="B7" i="2"/>
  <c r="G6" i="2"/>
  <c r="F6" i="2"/>
  <c r="E6" i="2"/>
  <c r="D6" i="2"/>
  <c r="C6" i="2"/>
  <c r="B6" i="2"/>
  <c r="G5" i="2"/>
  <c r="F5" i="2"/>
  <c r="E5" i="2"/>
  <c r="D5" i="2"/>
  <c r="C5" i="2"/>
  <c r="B5" i="2"/>
  <c r="A3" i="2"/>
  <c r="A1" i="1"/>
  <c r="A2" i="1"/>
  <c r="A4" i="1"/>
  <c r="B4" i="1"/>
  <c r="C4" i="1"/>
  <c r="D4" i="1"/>
  <c r="E4" i="1"/>
  <c r="F4" i="1"/>
  <c r="G4" i="1"/>
  <c r="A3" i="1"/>
  <c r="B5" i="1"/>
  <c r="C5" i="1"/>
  <c r="D5" i="1"/>
  <c r="E5" i="1"/>
  <c r="F5" i="1"/>
  <c r="G5" i="1"/>
  <c r="B6" i="1"/>
  <c r="C6" i="1"/>
  <c r="D6" i="1"/>
  <c r="E6" i="1"/>
  <c r="F6" i="1"/>
  <c r="G6" i="1"/>
  <c r="B7" i="1"/>
  <c r="C7" i="1"/>
  <c r="D7" i="1"/>
  <c r="E7" i="1"/>
  <c r="F7" i="1"/>
  <c r="G7" i="1"/>
  <c r="B8" i="1"/>
  <c r="C8" i="1"/>
  <c r="D8" i="1"/>
  <c r="E8" i="1"/>
  <c r="F8" i="1"/>
  <c r="G8" i="1"/>
  <c r="B9" i="1"/>
  <c r="C9" i="1"/>
  <c r="D9" i="1"/>
  <c r="E9" i="1"/>
  <c r="F9" i="1"/>
  <c r="G9" i="1"/>
  <c r="B10" i="1"/>
  <c r="C10" i="1"/>
  <c r="D10" i="1"/>
  <c r="E10" i="1"/>
  <c r="F10" i="1"/>
  <c r="G10" i="1"/>
  <c r="B11" i="1"/>
  <c r="C11" i="1"/>
  <c r="D11" i="1"/>
  <c r="E11" i="1"/>
  <c r="F11" i="1"/>
  <c r="G11" i="1"/>
  <c r="B12" i="1"/>
  <c r="C12" i="1"/>
  <c r="D12" i="1"/>
  <c r="E12" i="1"/>
  <c r="F12" i="1"/>
  <c r="G12" i="1"/>
  <c r="B13" i="1"/>
  <c r="C13" i="1"/>
  <c r="D13" i="1"/>
  <c r="E13" i="1"/>
  <c r="F13" i="1"/>
  <c r="G13" i="1"/>
  <c r="B14" i="1"/>
  <c r="C14" i="1"/>
  <c r="D14" i="1"/>
  <c r="E14" i="1"/>
  <c r="F14" i="1"/>
  <c r="G14" i="1"/>
  <c r="B15" i="1"/>
  <c r="C15" i="1"/>
  <c r="D15" i="1"/>
  <c r="E15" i="1"/>
  <c r="F15" i="1"/>
  <c r="G15" i="1"/>
  <c r="B16" i="1"/>
  <c r="C16" i="1"/>
  <c r="D16" i="1"/>
  <c r="E16" i="1"/>
  <c r="F16" i="1"/>
  <c r="G16" i="1"/>
  <c r="B17" i="1"/>
  <c r="C17" i="1"/>
  <c r="D17" i="1"/>
  <c r="E17" i="1"/>
  <c r="F17" i="1"/>
  <c r="G17" i="1"/>
  <c r="B18" i="1"/>
  <c r="C18" i="1"/>
  <c r="D18" i="1"/>
  <c r="E18" i="1"/>
  <c r="F18" i="1"/>
  <c r="G18" i="1"/>
  <c r="B19" i="1"/>
  <c r="C19" i="1"/>
  <c r="D19" i="1"/>
  <c r="E19" i="1"/>
  <c r="F19" i="1"/>
  <c r="G19" i="1"/>
  <c r="B20" i="1"/>
  <c r="C20" i="1"/>
  <c r="D20" i="1"/>
  <c r="E20" i="1"/>
  <c r="F20" i="1"/>
  <c r="G20" i="1"/>
  <c r="B21" i="1"/>
  <c r="C21" i="1"/>
  <c r="D21" i="1"/>
  <c r="E21" i="1"/>
  <c r="F21" i="1"/>
  <c r="G21" i="1"/>
  <c r="B22" i="1"/>
  <c r="C22" i="1"/>
  <c r="D22" i="1"/>
  <c r="E22" i="1"/>
  <c r="F22" i="1"/>
  <c r="G22" i="1"/>
  <c r="B23" i="1"/>
  <c r="C23" i="1"/>
  <c r="D23" i="1"/>
  <c r="E23" i="1"/>
  <c r="F23" i="1"/>
  <c r="G23" i="1"/>
  <c r="B24" i="1"/>
  <c r="C24" i="1"/>
  <c r="D24" i="1"/>
  <c r="E24" i="1"/>
  <c r="F24" i="1"/>
  <c r="G24" i="1"/>
  <c r="B25" i="1"/>
  <c r="C25" i="1"/>
  <c r="D25" i="1"/>
  <c r="E25" i="1"/>
  <c r="F25" i="1"/>
  <c r="G25" i="1"/>
  <c r="B26" i="1"/>
  <c r="C26" i="1"/>
  <c r="D26" i="1"/>
  <c r="E26" i="1"/>
  <c r="F26" i="1"/>
  <c r="G26" i="1"/>
  <c r="B27" i="1"/>
  <c r="C27" i="1"/>
  <c r="D27" i="1"/>
  <c r="E27" i="1"/>
  <c r="F27" i="1"/>
  <c r="G27" i="1"/>
  <c r="B28" i="1"/>
  <c r="C28" i="1"/>
  <c r="D28" i="1"/>
  <c r="E28" i="1"/>
  <c r="F28" i="1"/>
  <c r="G28" i="1"/>
  <c r="B29" i="1"/>
  <c r="C29" i="1"/>
  <c r="D29" i="1"/>
  <c r="E29" i="1"/>
  <c r="F29" i="1"/>
  <c r="G29" i="1"/>
  <c r="B30" i="1"/>
  <c r="C30" i="1"/>
  <c r="D30" i="1"/>
  <c r="E30" i="1"/>
  <c r="F30" i="1"/>
  <c r="G30" i="1"/>
  <c r="B31" i="1"/>
  <c r="C31" i="1"/>
  <c r="D31" i="1"/>
  <c r="E31" i="1"/>
  <c r="F31" i="1"/>
  <c r="G31" i="1"/>
  <c r="B32" i="1"/>
  <c r="C32" i="1"/>
  <c r="D32" i="1"/>
  <c r="E32" i="1"/>
  <c r="F32" i="1"/>
  <c r="G32" i="1"/>
  <c r="B33" i="1"/>
  <c r="C33" i="1"/>
  <c r="D33" i="1"/>
  <c r="E33" i="1"/>
  <c r="F33" i="1"/>
  <c r="G33" i="1"/>
  <c r="B34" i="1"/>
  <c r="C34" i="1"/>
  <c r="D34" i="1"/>
  <c r="E34" i="1"/>
  <c r="F34" i="1"/>
  <c r="G34" i="1"/>
  <c r="B35" i="1"/>
  <c r="C35" i="1"/>
  <c r="D35" i="1"/>
  <c r="E35" i="1"/>
  <c r="F35" i="1"/>
  <c r="G35" i="1"/>
  <c r="B36" i="1"/>
  <c r="C36" i="1"/>
  <c r="D36" i="1"/>
  <c r="E36" i="1"/>
  <c r="F36" i="1"/>
  <c r="G36" i="1"/>
  <c r="B37" i="1"/>
  <c r="C37" i="1"/>
  <c r="D37" i="1"/>
  <c r="E37" i="1"/>
  <c r="F37" i="1"/>
  <c r="G37" i="1"/>
  <c r="B38" i="1"/>
  <c r="C38" i="1"/>
  <c r="D38" i="1"/>
  <c r="E38" i="1"/>
  <c r="F38" i="1"/>
  <c r="G38" i="1"/>
  <c r="B39" i="1"/>
  <c r="C39" i="1"/>
  <c r="D39" i="1"/>
  <c r="E39" i="1"/>
  <c r="F39" i="1"/>
  <c r="G39" i="1"/>
  <c r="B40" i="1"/>
  <c r="C40" i="1"/>
  <c r="D40" i="1"/>
  <c r="E40" i="1"/>
  <c r="F40" i="1"/>
  <c r="G40" i="1"/>
  <c r="B41" i="1"/>
  <c r="C41" i="1"/>
  <c r="D41" i="1"/>
  <c r="E41" i="1"/>
  <c r="F41" i="1"/>
  <c r="G41" i="1"/>
  <c r="B42" i="1"/>
  <c r="C42" i="1"/>
  <c r="D42" i="1"/>
  <c r="E42" i="1"/>
  <c r="F42" i="1"/>
  <c r="G42" i="1"/>
  <c r="B43" i="1"/>
  <c r="C43" i="1"/>
  <c r="D43" i="1"/>
  <c r="E43" i="1"/>
  <c r="F43" i="1"/>
  <c r="G43" i="1"/>
  <c r="B44" i="1"/>
  <c r="C44" i="1"/>
  <c r="D44" i="1"/>
  <c r="E44" i="1"/>
  <c r="F44" i="1"/>
  <c r="G44" i="1"/>
  <c r="B45" i="1"/>
  <c r="C45" i="1"/>
  <c r="D45" i="1"/>
  <c r="E45" i="1"/>
  <c r="F45" i="1"/>
  <c r="G45" i="1"/>
  <c r="B46" i="1"/>
  <c r="C46" i="1"/>
  <c r="D46" i="1"/>
  <c r="E46" i="1"/>
  <c r="F46" i="1"/>
  <c r="G46" i="1"/>
  <c r="B47" i="1"/>
  <c r="C47" i="1"/>
  <c r="D47" i="1"/>
  <c r="E47" i="1"/>
  <c r="F47" i="1"/>
  <c r="G47" i="1"/>
  <c r="B48" i="1"/>
  <c r="C48" i="1"/>
  <c r="D48" i="1"/>
  <c r="E48" i="1"/>
  <c r="F48" i="1"/>
  <c r="G48" i="1"/>
  <c r="B49" i="1"/>
  <c r="C49" i="1"/>
  <c r="D49" i="1"/>
  <c r="E49" i="1"/>
  <c r="F49" i="1"/>
  <c r="G49" i="1"/>
  <c r="B50" i="1"/>
  <c r="C50" i="1"/>
  <c r="D50" i="1"/>
  <c r="E50" i="1"/>
  <c r="F50" i="1"/>
  <c r="G50" i="1"/>
  <c r="B51" i="1"/>
  <c r="C51" i="1"/>
  <c r="D51" i="1"/>
  <c r="E51" i="1"/>
  <c r="F51" i="1"/>
  <c r="G51" i="1"/>
  <c r="B52" i="1"/>
  <c r="C52" i="1"/>
  <c r="D52" i="1"/>
  <c r="E52" i="1"/>
  <c r="F52" i="1"/>
  <c r="G52" i="1"/>
  <c r="B53" i="1"/>
  <c r="C53" i="1"/>
  <c r="D53" i="1"/>
  <c r="E53" i="1"/>
  <c r="F53" i="1"/>
  <c r="G53" i="1"/>
  <c r="B54" i="1"/>
  <c r="C54" i="1"/>
  <c r="D54" i="1"/>
  <c r="E54" i="1"/>
  <c r="F54" i="1"/>
  <c r="G54" i="1"/>
  <c r="B55" i="1"/>
  <c r="C55" i="1"/>
  <c r="D55" i="1"/>
  <c r="E55" i="1"/>
  <c r="F55" i="1"/>
  <c r="G55" i="1"/>
  <c r="B56" i="1"/>
  <c r="C56" i="1"/>
  <c r="D56" i="1"/>
  <c r="E56" i="1"/>
  <c r="F56" i="1"/>
  <c r="G56" i="1"/>
  <c r="B57" i="1"/>
  <c r="C57" i="1"/>
  <c r="D57" i="1"/>
  <c r="E57" i="1"/>
  <c r="F57" i="1"/>
  <c r="G57" i="1"/>
  <c r="B58" i="1"/>
  <c r="C58" i="1"/>
  <c r="D58" i="1"/>
  <c r="E58" i="1"/>
  <c r="F58" i="1"/>
  <c r="G58" i="1"/>
  <c r="B59" i="1"/>
  <c r="C59" i="1"/>
  <c r="D59" i="1"/>
  <c r="E59" i="1"/>
  <c r="F59" i="1"/>
  <c r="G59" i="1"/>
  <c r="B60" i="1"/>
  <c r="C60" i="1"/>
  <c r="D60" i="1"/>
  <c r="E60" i="1"/>
  <c r="F60" i="1"/>
  <c r="G60" i="1"/>
  <c r="B61" i="1"/>
  <c r="C61" i="1"/>
  <c r="D61" i="1"/>
  <c r="E61" i="1"/>
  <c r="F61" i="1"/>
  <c r="G61" i="1"/>
  <c r="A147" i="1"/>
  <c r="A148" i="1"/>
  <c r="B149" i="1"/>
  <c r="C149" i="1"/>
  <c r="D149" i="1"/>
  <c r="E149" i="1"/>
  <c r="F149" i="1"/>
  <c r="G149" i="1"/>
  <c r="A150" i="1"/>
  <c r="A15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WAGday1u15 and u18 super final results" type="6" refreshedVersion="4" background="1" saveData="1">
    <textPr codePage="437" sourceFile="C:\Users\East Range\Documents\WAG Stuff\WAGday1u15 and u18 super final results." semicolon="1">
      <textFields count="2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0000000}" name="WAGday3relay3results" type="6" refreshedVersion="4" background="1" saveData="1">
    <textPr codePage="437" sourceFile="C:\Users\East Range\Documents\WAG Stuff\Pegasus Results\WAGday3relay3results." semicolon="1">
      <textFields count="2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00000000-0015-0000-FFFF-FFFF00000000}" name="WAGDu21superfinalResults" type="6" refreshedVersion="4" background="1" saveData="1">
    <textPr codePage="437" sourceFile="C:\Users\East Range\Documents\WAG Stuff\Pegasus Results\WAGDu21superfinalResults." semicolon="1">
      <textFields count="2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<sst xmlns="http://schemas.openxmlformats.org/spreadsheetml/2006/main" count="911" uniqueCount="349">
  <si>
    <t>Rank</t>
  </si>
  <si>
    <t>Name</t>
  </si>
  <si>
    <t>Category</t>
  </si>
  <si>
    <t>Day 1</t>
  </si>
  <si>
    <t>Day 2</t>
  </si>
  <si>
    <t>Day 3</t>
  </si>
  <si>
    <t>Aggregate</t>
  </si>
  <si>
    <t>OPEN</t>
  </si>
  <si>
    <t xml:space="preserve">Weisz, Alison, SP4, USA </t>
  </si>
  <si>
    <t>WAR</t>
  </si>
  <si>
    <t xml:space="preserve">Maddalena, Sagen, SP4, USA </t>
  </si>
  <si>
    <t xml:space="preserve">Beard, Sarah, 1LT, USA </t>
  </si>
  <si>
    <t xml:space="preserve">Sherry, Timothy, USA </t>
  </si>
  <si>
    <t>MAR</t>
  </si>
  <si>
    <t xml:space="preserve">Kozeniesky, Lucas </t>
  </si>
  <si>
    <t xml:space="preserve">Thrasher, Virginia </t>
  </si>
  <si>
    <t xml:space="preserve">Roe, Ivan, SP4, USA </t>
  </si>
  <si>
    <t xml:space="preserve">Sunderman, Patrick, SGT, USA </t>
  </si>
  <si>
    <t xml:space="preserve">Hemphill, Kristen </t>
  </si>
  <si>
    <t xml:space="preserve">Grundsøe, Stephanie </t>
  </si>
  <si>
    <t xml:space="preserve">Gordon, Abigail </t>
  </si>
  <si>
    <t xml:space="preserve">Mercado Martinez, Yarimar </t>
  </si>
  <si>
    <t xml:space="preserve">Muske, Brandon, SGT, USA </t>
  </si>
  <si>
    <t xml:space="preserve">Burrow, Addy </t>
  </si>
  <si>
    <t xml:space="preserve">Clark, Levi, SP4, USA </t>
  </si>
  <si>
    <t xml:space="preserve">Williams, Jordan </t>
  </si>
  <si>
    <t xml:space="preserve">Mendoza, Luis </t>
  </si>
  <si>
    <t xml:space="preserve">Taschuk, Grace </t>
  </si>
  <si>
    <t xml:space="preserve">Fiori, Peter </t>
  </si>
  <si>
    <t xml:space="preserve">Desrosiers, Jared, SGT, USA </t>
  </si>
  <si>
    <t xml:space="preserve">Henry, Angeline </t>
  </si>
  <si>
    <t xml:space="preserve">Zakrezeski, Jillian </t>
  </si>
  <si>
    <t xml:space="preserve">Buesseler, Abigail </t>
  </si>
  <si>
    <t xml:space="preserve">Blankenship, Jordan  </t>
  </si>
  <si>
    <t xml:space="preserve">Hall, Martha </t>
  </si>
  <si>
    <t xml:space="preserve">D'Souza, Peninah </t>
  </si>
  <si>
    <t>GOLD</t>
  </si>
  <si>
    <t xml:space="preserve">Rockett, Scott </t>
  </si>
  <si>
    <t xml:space="preserve">Zaun, Katie </t>
  </si>
  <si>
    <t>SILVER</t>
  </si>
  <si>
    <t xml:space="preserve">Allan, Stephanie </t>
  </si>
  <si>
    <t>BRONZE</t>
  </si>
  <si>
    <t xml:space="preserve">Hurley, Lauren </t>
  </si>
  <si>
    <t xml:space="preserve">Duryea, Andrew </t>
  </si>
  <si>
    <t xml:space="preserve">Castillo, Kaylene </t>
  </si>
  <si>
    <t xml:space="preserve">Derting, Kristen </t>
  </si>
  <si>
    <t xml:space="preserve">O'Neel, Claire </t>
  </si>
  <si>
    <t xml:space="preserve">White, Anne </t>
  </si>
  <si>
    <t xml:space="preserve">Lambdin, M'Leah </t>
  </si>
  <si>
    <t xml:space="preserve">Salas, Ben </t>
  </si>
  <si>
    <t xml:space="preserve">Haydin, Parker </t>
  </si>
  <si>
    <t xml:space="preserve">Butt, Aliya </t>
  </si>
  <si>
    <t xml:space="preserve">Welsh, Charlotte  </t>
  </si>
  <si>
    <t xml:space="preserve">Kohan, Amy </t>
  </si>
  <si>
    <t xml:space="preserve">Burrow, Samuel </t>
  </si>
  <si>
    <t xml:space="preserve">Stockton, Travis </t>
  </si>
  <si>
    <t xml:space="preserve">Enriquez Flores, Gustavo </t>
  </si>
  <si>
    <t xml:space="preserve">Judson, Ashley </t>
  </si>
  <si>
    <t xml:space="preserve">Freeman, Holly </t>
  </si>
  <si>
    <t xml:space="preserve">Folsom, Sarah </t>
  </si>
  <si>
    <t xml:space="preserve">Morrow, Gabriela </t>
  </si>
  <si>
    <t xml:space="preserve">Karadsheh, Roman </t>
  </si>
  <si>
    <t xml:space="preserve">Lopez, Eyvin </t>
  </si>
  <si>
    <t xml:space="preserve">Hart, James, IV </t>
  </si>
  <si>
    <t xml:space="preserve">Fowkes, Brady </t>
  </si>
  <si>
    <t xml:space="preserve">Cartagena, Christina </t>
  </si>
  <si>
    <t xml:space="preserve">Pereira, Emma </t>
  </si>
  <si>
    <t xml:space="preserve">Duncan, Maximus </t>
  </si>
  <si>
    <t xml:space="preserve">Trammell, Chase  </t>
  </si>
  <si>
    <t xml:space="preserve">Boggan, Garrett </t>
  </si>
  <si>
    <t xml:space="preserve">Wood, Carson </t>
  </si>
  <si>
    <t xml:space="preserve">Ford, Chase </t>
  </si>
  <si>
    <t xml:space="preserve">Sparrow, Samuel </t>
  </si>
  <si>
    <t xml:space="preserve">Oberle, Jacob </t>
  </si>
  <si>
    <t xml:space="preserve">Evans, Isabella  </t>
  </si>
  <si>
    <t xml:space="preserve">Gamez, Bella </t>
  </si>
  <si>
    <t xml:space="preserve">Delano, Kenneth </t>
  </si>
  <si>
    <t xml:space="preserve">Hooper, Mason </t>
  </si>
  <si>
    <t xml:space="preserve">Goitia, Emily </t>
  </si>
  <si>
    <t xml:space="preserve">Kruckenberg, Wrangle </t>
  </si>
  <si>
    <t xml:space="preserve">Peay, Clayton </t>
  </si>
  <si>
    <t xml:space="preserve">Camp, Camryn </t>
  </si>
  <si>
    <t xml:space="preserve">Charles, Rachael </t>
  </si>
  <si>
    <t xml:space="preserve">Hanson, Adrienne </t>
  </si>
  <si>
    <t xml:space="preserve">Ewton, Kenlee </t>
  </si>
  <si>
    <t xml:space="preserve">Probst, Elizabeth </t>
  </si>
  <si>
    <t xml:space="preserve">Hogan, Mikole  </t>
  </si>
  <si>
    <t xml:space="preserve">Torrence, Megan </t>
  </si>
  <si>
    <t xml:space="preserve">Butler, Bethany </t>
  </si>
  <si>
    <t xml:space="preserve">Mick, Charlotte </t>
  </si>
  <si>
    <t xml:space="preserve">Baldwin, Isabella </t>
  </si>
  <si>
    <t xml:space="preserve">Dinh, Gracie </t>
  </si>
  <si>
    <t xml:space="preserve">Cameron, Maya </t>
  </si>
  <si>
    <t>Braden Peiser</t>
  </si>
  <si>
    <t xml:space="preserve">Schammel, Olivia </t>
  </si>
  <si>
    <t xml:space="preserve">Diamond, Regan </t>
  </si>
  <si>
    <t xml:space="preserve">Goebel, Kendall </t>
  </si>
  <si>
    <t xml:space="preserve">Buck, Emily </t>
  </si>
  <si>
    <t xml:space="preserve">Cruz, Sophia </t>
  </si>
  <si>
    <t xml:space="preserve">Robinson, Aleandra </t>
  </si>
  <si>
    <t xml:space="preserve">Morrison, Skylar </t>
  </si>
  <si>
    <t xml:space="preserve">Martin, Caroline  </t>
  </si>
  <si>
    <t xml:space="preserve">Day, Jacob </t>
  </si>
  <si>
    <t xml:space="preserve">Anderson, Aubrey </t>
  </si>
  <si>
    <t xml:space="preserve">Downum, Annie </t>
  </si>
  <si>
    <t xml:space="preserve">Zych, Gabriela, USA </t>
  </si>
  <si>
    <t xml:space="preserve">Wee, Ryan </t>
  </si>
  <si>
    <t xml:space="preserve">Fedora, Marissa  </t>
  </si>
  <si>
    <t xml:space="preserve">Riewe, Kayla </t>
  </si>
  <si>
    <t xml:space="preserve">Czernik , Julia  </t>
  </si>
  <si>
    <t xml:space="preserve">Arlington, Ashton </t>
  </si>
  <si>
    <t xml:space="preserve">Hancock, Sarah </t>
  </si>
  <si>
    <t xml:space="preserve">Stanton, Emma James </t>
  </si>
  <si>
    <t xml:space="preserve">Douglas, Maisyn  </t>
  </si>
  <si>
    <t xml:space="preserve">Butler, Elijah </t>
  </si>
  <si>
    <t xml:space="preserve">Ellis, Grayson </t>
  </si>
  <si>
    <t xml:space="preserve">Myren, Carson </t>
  </si>
  <si>
    <t xml:space="preserve">Allison, Courtney </t>
  </si>
  <si>
    <t xml:space="preserve">Antwiler, Addison </t>
  </si>
  <si>
    <t xml:space="preserve">Slaughter, Kaylynn </t>
  </si>
  <si>
    <t xml:space="preserve">Gray, Cooper </t>
  </si>
  <si>
    <t xml:space="preserve">Stapp, Leah </t>
  </si>
  <si>
    <t xml:space="preserve">Kiker, Hannah, USA </t>
  </si>
  <si>
    <t xml:space="preserve">Orr, Kyle </t>
  </si>
  <si>
    <t xml:space="preserve">Weatherford, Brooklynne </t>
  </si>
  <si>
    <t xml:space="preserve">Steen, William </t>
  </si>
  <si>
    <t xml:space="preserve">Nickerson, Annania, USA </t>
  </si>
  <si>
    <t xml:space="preserve">Stuart, Meredith </t>
  </si>
  <si>
    <t xml:space="preserve">Patterson , Grace </t>
  </si>
  <si>
    <t xml:space="preserve">Rafalski, Ellie  </t>
  </si>
  <si>
    <t xml:space="preserve">Veatch, Leo </t>
  </si>
  <si>
    <t xml:space="preserve">Sorensen, Dallas </t>
  </si>
  <si>
    <t xml:space="preserve">Bain, Pruitt </t>
  </si>
  <si>
    <t xml:space="preserve">Yoon, Matteo </t>
  </si>
  <si>
    <t xml:space="preserve">Crudgington, LeeAnna </t>
  </si>
  <si>
    <t xml:space="preserve">Musgrave, Marissa </t>
  </si>
  <si>
    <t xml:space="preserve">Jones, Kiley </t>
  </si>
  <si>
    <t xml:space="preserve">Zaun, Dylan </t>
  </si>
  <si>
    <t xml:space="preserve">Billings, Brock </t>
  </si>
  <si>
    <t xml:space="preserve">Oberle, Jesse-Anne </t>
  </si>
  <si>
    <t xml:space="preserve">Ayers, Gabrielle </t>
  </si>
  <si>
    <t xml:space="preserve">de Jesus, Danjela Jordan </t>
  </si>
  <si>
    <t xml:space="preserve">Meyers, Teegan </t>
  </si>
  <si>
    <t xml:space="preserve">Delzer, Daniel </t>
  </si>
  <si>
    <t xml:space="preserve">Bianca, Gabriel </t>
  </si>
  <si>
    <t xml:space="preserve">Kersten, Dane </t>
  </si>
  <si>
    <t xml:space="preserve">Lee, Madelyn </t>
  </si>
  <si>
    <t xml:space="preserve">Kovol, Ellen </t>
  </si>
  <si>
    <t xml:space="preserve">Blackwood, Carlie </t>
  </si>
  <si>
    <t xml:space="preserve">Heitman, Jacob </t>
  </si>
  <si>
    <t xml:space="preserve">White, Destiny </t>
  </si>
  <si>
    <t xml:space="preserve">Engelien, Emma </t>
  </si>
  <si>
    <t xml:space="preserve">Albert, Enzzo </t>
  </si>
  <si>
    <t xml:space="preserve">Peay, Caden </t>
  </si>
  <si>
    <t xml:space="preserve">Courie-Thornburg, Juliana </t>
  </si>
  <si>
    <t xml:space="preserve">Ellis, Xavier  </t>
  </si>
  <si>
    <t xml:space="preserve">Wee, Tyler  </t>
  </si>
  <si>
    <t xml:space="preserve">Sralla, Briley </t>
  </si>
  <si>
    <t xml:space="preserve">Larson, Makenzie </t>
  </si>
  <si>
    <t xml:space="preserve">Dufresne, Hannah </t>
  </si>
  <si>
    <t xml:space="preserve">Boozer, Elisa </t>
  </si>
  <si>
    <t xml:space="preserve">Misra, Anoushka </t>
  </si>
  <si>
    <t xml:space="preserve">Miller, Lily </t>
  </si>
  <si>
    <t xml:space="preserve">Simpson, Martha </t>
  </si>
  <si>
    <t xml:space="preserve">Torrence, Allison </t>
  </si>
  <si>
    <t xml:space="preserve">Dobkins, Kindolyn </t>
  </si>
  <si>
    <t xml:space="preserve">Criddle, Savannah </t>
  </si>
  <si>
    <t xml:space="preserve">Kalenza, Sophie </t>
  </si>
  <si>
    <t xml:space="preserve">Chutke, Aditi </t>
  </si>
  <si>
    <t xml:space="preserve">Sanchez, Logan </t>
  </si>
  <si>
    <t xml:space="preserve">Colon Vargas, Edian </t>
  </si>
  <si>
    <t xml:space="preserve">Gutierrez, Zoe </t>
  </si>
  <si>
    <t xml:space="preserve">Satterfield, Jayden, USA </t>
  </si>
  <si>
    <t xml:space="preserve">Sylvia, Chiara </t>
  </si>
  <si>
    <t xml:space="preserve">Kring, Mackenzie </t>
  </si>
  <si>
    <t xml:space="preserve">Peay, Katie </t>
  </si>
  <si>
    <t xml:space="preserve">Newman, Bryce </t>
  </si>
  <si>
    <t>SENIOR</t>
  </si>
  <si>
    <t>2021 USAS Winter Air Gun - Air Rifle</t>
  </si>
  <si>
    <t>R4 Results</t>
  </si>
  <si>
    <t>Champion, Madison (295815)</t>
  </si>
  <si>
    <t>Almlie-Ryan, Jazmin (162308)</t>
  </si>
  <si>
    <t>Hays, Benjamin (329874)</t>
  </si>
  <si>
    <t>Rogers, Dakota (163287)</t>
  </si>
  <si>
    <t>Knight, Sidney (306836)</t>
  </si>
  <si>
    <t>JUNIOR GOLD</t>
  </si>
  <si>
    <t>JUNIOR SILVER</t>
  </si>
  <si>
    <t>JUNIOR BRONZE</t>
  </si>
  <si>
    <t>ANNISTON</t>
  </si>
  <si>
    <t>CAMP PERRY</t>
  </si>
  <si>
    <t>Borthwick, Paul (162283)</t>
  </si>
  <si>
    <t>603.8</t>
  </si>
  <si>
    <t>602.4</t>
  </si>
  <si>
    <t>593.7</t>
  </si>
  <si>
    <t>1,799.9</t>
  </si>
  <si>
    <t>Lastra, Guido (400446)</t>
  </si>
  <si>
    <t>569.0</t>
  </si>
  <si>
    <t>567.8</t>
  </si>
  <si>
    <t>566.4</t>
  </si>
  <si>
    <t>1,703.2</t>
  </si>
  <si>
    <t>2021 Winter Air Gun U15 Super Final</t>
  </si>
  <si>
    <t>Lane</t>
  </si>
  <si>
    <t>CT Number</t>
  </si>
  <si>
    <t>String 1</t>
  </si>
  <si>
    <t>String 2</t>
  </si>
  <si>
    <t>String 3</t>
  </si>
  <si>
    <t>String 4</t>
  </si>
  <si>
    <t>String 5</t>
  </si>
  <si>
    <t>String 6</t>
  </si>
  <si>
    <t>String 7</t>
  </si>
  <si>
    <t>String 8</t>
  </si>
  <si>
    <t>String 9</t>
  </si>
  <si>
    <t>Total</t>
  </si>
  <si>
    <t xml:space="preserve">Shannon Moriarty </t>
  </si>
  <si>
    <t>U15</t>
  </si>
  <si>
    <t xml:space="preserve">Deitrich Bergman </t>
  </si>
  <si>
    <t xml:space="preserve">Josh Poole </t>
  </si>
  <si>
    <t xml:space="preserve">Jackson Wall </t>
  </si>
  <si>
    <t xml:space="preserve">Parker Sullivan </t>
  </si>
  <si>
    <t xml:space="preserve">Jack Ogoreuc </t>
  </si>
  <si>
    <t xml:space="preserve">Mausten Stelter </t>
  </si>
  <si>
    <t xml:space="preserve">Katelyn Tieszen </t>
  </si>
  <si>
    <t xml:space="preserve">Ella Lee </t>
  </si>
  <si>
    <t xml:space="preserve">Josie Eichmann </t>
  </si>
  <si>
    <t xml:space="preserve">Isabella Pham </t>
  </si>
  <si>
    <t xml:space="preserve">Ashley Haymond </t>
  </si>
  <si>
    <t xml:space="preserve">Sydney Baker </t>
  </si>
  <si>
    <t xml:space="preserve">Gabbie Eichmann </t>
  </si>
  <si>
    <t>2021 Winter Air Gun U18 Super Final</t>
  </si>
  <si>
    <t xml:space="preserve">Julianna Hays </t>
  </si>
  <si>
    <t>U18</t>
  </si>
  <si>
    <t xml:space="preserve">Emme Walrath </t>
  </si>
  <si>
    <t xml:space="preserve">Bremen Butler </t>
  </si>
  <si>
    <t xml:space="preserve">Katrina Demerle </t>
  </si>
  <si>
    <t xml:space="preserve">Isabelle Gratz </t>
  </si>
  <si>
    <t xml:space="preserve">Emma Butt </t>
  </si>
  <si>
    <t xml:space="preserve">Mela Lin </t>
  </si>
  <si>
    <t xml:space="preserve">Genevieve Sowers </t>
  </si>
  <si>
    <t xml:space="preserve">Mia Lee </t>
  </si>
  <si>
    <t xml:space="preserve">Alison Sutherlin </t>
  </si>
  <si>
    <t xml:space="preserve">Rachael Paddock </t>
  </si>
  <si>
    <t xml:space="preserve">Paige Hildebrandt </t>
  </si>
  <si>
    <t xml:space="preserve">Ashluy Blake </t>
  </si>
  <si>
    <t xml:space="preserve">Brandon Evans </t>
  </si>
  <si>
    <t xml:space="preserve">Alivia Perkins </t>
  </si>
  <si>
    <t xml:space="preserve">Amanda Wolfe </t>
  </si>
  <si>
    <t xml:space="preserve">Elijah Spencer </t>
  </si>
  <si>
    <t xml:space="preserve">Jasmine Hays </t>
  </si>
  <si>
    <t xml:space="preserve">Alysa Yancey </t>
  </si>
  <si>
    <t>Lainie Rodriguez-Ferreira</t>
  </si>
  <si>
    <t xml:space="preserve">Teresa Hines </t>
  </si>
  <si>
    <t xml:space="preserve">Matthew Stout </t>
  </si>
  <si>
    <t xml:space="preserve">Emma Lawrence </t>
  </si>
  <si>
    <t xml:space="preserve">Lillian Warren </t>
  </si>
  <si>
    <t xml:space="preserve">Claudia Muzik </t>
  </si>
  <si>
    <t xml:space="preserve">Jacob Wisman </t>
  </si>
  <si>
    <t xml:space="preserve">Griffin Lake </t>
  </si>
  <si>
    <t xml:space="preserve">Rylie Passmore </t>
  </si>
  <si>
    <t xml:space="preserve">Cassidy Reeke </t>
  </si>
  <si>
    <t xml:space="preserve">Hailey Singleton </t>
  </si>
  <si>
    <t xml:space="preserve">Sophia Merk </t>
  </si>
  <si>
    <t xml:space="preserve">Allyn Carpenter </t>
  </si>
  <si>
    <t xml:space="preserve">Jordyn Ewine </t>
  </si>
  <si>
    <t xml:space="preserve">Victoria Koenig </t>
  </si>
  <si>
    <t xml:space="preserve">Joseph Kovach </t>
  </si>
  <si>
    <t xml:space="preserve">Ellis Warsaw </t>
  </si>
  <si>
    <t xml:space="preserve">Diana Leppert </t>
  </si>
  <si>
    <t xml:space="preserve">Alok Joarder </t>
  </si>
  <si>
    <t xml:space="preserve">Kyra Meade </t>
  </si>
  <si>
    <t xml:space="preserve">Hayden Bell </t>
  </si>
  <si>
    <t xml:space="preserve">Nicolette Hoffman </t>
  </si>
  <si>
    <t xml:space="preserve">Teagan Perkowski </t>
  </si>
  <si>
    <t xml:space="preserve">Dylan Gregory </t>
  </si>
  <si>
    <t xml:space="preserve">Lily Wytko </t>
  </si>
  <si>
    <t xml:space="preserve">Catherine Dely </t>
  </si>
  <si>
    <t xml:space="preserve">Kaitlyn Minden </t>
  </si>
  <si>
    <t xml:space="preserve">Olivia Shane </t>
  </si>
  <si>
    <t xml:space="preserve">Grace Corbett </t>
  </si>
  <si>
    <t xml:space="preserve">Jake Kapper </t>
  </si>
  <si>
    <t xml:space="preserve">Ziva Swick </t>
  </si>
  <si>
    <t xml:space="preserve">Keira Bruce </t>
  </si>
  <si>
    <t xml:space="preserve">Anthony Hotko </t>
  </si>
  <si>
    <t xml:space="preserve">Gatlin James </t>
  </si>
  <si>
    <t xml:space="preserve">Alex Pall </t>
  </si>
  <si>
    <t xml:space="preserve">Grace Foley </t>
  </si>
  <si>
    <t xml:space="preserve">Marina West </t>
  </si>
  <si>
    <t xml:space="preserve">Trey Myers </t>
  </si>
  <si>
    <t xml:space="preserve">Tristian Roguski </t>
  </si>
  <si>
    <t xml:space="preserve">Ryan Kim </t>
  </si>
  <si>
    <t xml:space="preserve">Owen Guise </t>
  </si>
  <si>
    <t xml:space="preserve">Tanner Barth </t>
  </si>
  <si>
    <t xml:space="preserve">Nathan Ware </t>
  </si>
  <si>
    <t xml:space="preserve">Liam Tegeler </t>
  </si>
  <si>
    <t xml:space="preserve">Natalia Siek </t>
  </si>
  <si>
    <t xml:space="preserve">Maria Koenig </t>
  </si>
  <si>
    <t xml:space="preserve">Eli Guise </t>
  </si>
  <si>
    <t xml:space="preserve">Ava Penatzer </t>
  </si>
  <si>
    <t xml:space="preserve">Riley Dunn </t>
  </si>
  <si>
    <t xml:space="preserve">Rushil Punukollu </t>
  </si>
  <si>
    <t xml:space="preserve">Raina Fleischer </t>
  </si>
  <si>
    <t xml:space="preserve">Emily Marne </t>
  </si>
  <si>
    <t xml:space="preserve">Ashley Tieszen </t>
  </si>
  <si>
    <t xml:space="preserve">Hannah Todd </t>
  </si>
  <si>
    <t xml:space="preserve">Claire Counter </t>
  </si>
  <si>
    <t xml:space="preserve">Spencer Seaborne </t>
  </si>
  <si>
    <t xml:space="preserve">Megan Jaros </t>
  </si>
  <si>
    <t xml:space="preserve">Bohan Yang </t>
  </si>
  <si>
    <t>2021 Winter Air Gun U21 Super Final</t>
  </si>
  <si>
    <t>Shoot Off</t>
  </si>
  <si>
    <t xml:space="preserve">Molly McGhin </t>
  </si>
  <si>
    <t>U21</t>
  </si>
  <si>
    <t xml:space="preserve">Rylan Kissell </t>
  </si>
  <si>
    <t xml:space="preserve">Natalie Perrin </t>
  </si>
  <si>
    <t xml:space="preserve">Emma Rhode </t>
  </si>
  <si>
    <t xml:space="preserve">Andrew Duross </t>
  </si>
  <si>
    <t xml:space="preserve">Matthew Sanchez </t>
  </si>
  <si>
    <t xml:space="preserve">Malori Brown </t>
  </si>
  <si>
    <t xml:space="preserve">Sally Reeke </t>
  </si>
  <si>
    <t>Devin Uhrich</t>
  </si>
  <si>
    <t xml:space="preserve">Clarissa Layland </t>
  </si>
  <si>
    <t xml:space="preserve">McKenzie Shedd </t>
  </si>
  <si>
    <t xml:space="preserve">Cecelia Ossi </t>
  </si>
  <si>
    <t xml:space="preserve">Lara Spanic </t>
  </si>
  <si>
    <t xml:space="preserve">Saxon Weaver </t>
  </si>
  <si>
    <t xml:space="preserve">Victoria Leppert </t>
  </si>
  <si>
    <t xml:space="preserve">Lily Cicatella </t>
  </si>
  <si>
    <t xml:space="preserve">Mackenzy McLaughlin </t>
  </si>
  <si>
    <t>John Hamilton</t>
  </si>
  <si>
    <t xml:space="preserve">Stephanie Milvain </t>
  </si>
  <si>
    <t>William Kohrman</t>
  </si>
  <si>
    <t>Matthew Pham</t>
  </si>
  <si>
    <t>Jeffrey Bourassa</t>
  </si>
  <si>
    <t>2021 WAG Over 21 Super Final</t>
  </si>
  <si>
    <t>Kellen McAferty</t>
  </si>
  <si>
    <t>Over 21</t>
  </si>
  <si>
    <t>Richard Clark</t>
  </si>
  <si>
    <t>Jeanne Haverhill</t>
  </si>
  <si>
    <t>Alana Kelly</t>
  </si>
  <si>
    <t>Julie Klusmeier</t>
  </si>
  <si>
    <t>Michael Zanti</t>
  </si>
  <si>
    <t>Akihito Shimizu</t>
  </si>
  <si>
    <t>Kera Kaufman</t>
  </si>
  <si>
    <t>Chance Cover</t>
  </si>
  <si>
    <t>Ivan Camilo Lopez Gasca</t>
  </si>
  <si>
    <t>Shane Berens</t>
  </si>
  <si>
    <t>Brian Parziale</t>
  </si>
  <si>
    <t>Paul Borthwick</t>
  </si>
  <si>
    <t>Jon Speck</t>
  </si>
  <si>
    <t>Guido Lastra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</si>
</sst>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164" fontId="0" fillId="0" borderId="0" xfId="0" applyNumberFormat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WAGday1u15 and u18 super final results." connectionId="1" xr16:uid="{134518E9-9EFC-4823-928C-CF03A9F8A116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WAGDu21superfinalResults." connectionId="3" xr16:uid="{8085DF14-CE17-4F98-94AA-D1FBE1DA4BB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WAGday3relay3results." connectionId="2" xr16:uid="{8ED509A8-B94E-4190-AD36-E19E6BA9243A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G151"/>
  <sheetViews>
    <sheetView tabSelected="1" workbookViewId="0">
      <selection sqref="A1:G1"/>
    </sheetView>
  </sheetViews>
  <sheetFormatPr defaultRowHeight="14.5" x14ac:dyDescent="0.35"/>
  <cols>
    <col min="1" max="1" width="7.26953125" style="2" customWidth="1"/>
    <col min="2" max="2" width="32.453125" bestFit="1" customWidth="1"/>
    <col min="3" max="3" width="13.453125" bestFit="1" customWidth="1"/>
    <col min="4" max="6" width="5.7265625" bestFit="1" customWidth="1"/>
    <col min="7" max="7" width="10" bestFit="1" customWidth="1"/>
  </cols>
  <sheetData>
    <row r="1" spans="1:7" x14ac:dyDescent="0.35">
      <c r="A1" s="8" t="str">
        <f>"2021 USAS Winter Air Gun - Air Rifle"</f>
        <v>2021 USAS Winter Air Gun - Air Rifle</v>
      </c>
      <c r="B1" s="8"/>
      <c r="C1" s="8"/>
      <c r="D1" s="8"/>
      <c r="E1" s="8"/>
      <c r="F1" s="8"/>
      <c r="G1" s="8"/>
    </row>
    <row r="2" spans="1:7" x14ac:dyDescent="0.35">
      <c r="A2" s="8" t="str">
        <f>"Camp Perry Qualification Aggregate"</f>
        <v>Camp Perry Qualification Aggregate</v>
      </c>
      <c r="B2" s="8"/>
      <c r="C2" s="8"/>
      <c r="D2" s="8"/>
      <c r="E2" s="8"/>
      <c r="F2" s="8"/>
      <c r="G2" s="8"/>
    </row>
    <row r="3" spans="1:7" x14ac:dyDescent="0.35">
      <c r="A3" s="8" t="str">
        <f>"Men's - Air Rifle"</f>
        <v>Men's - Air Rifle</v>
      </c>
      <c r="B3" s="8"/>
      <c r="C3" s="8"/>
      <c r="D3" s="8"/>
      <c r="E3" s="8"/>
      <c r="F3" s="8"/>
      <c r="G3" s="8"/>
    </row>
    <row r="4" spans="1:7" x14ac:dyDescent="0.35">
      <c r="A4" s="2" t="str">
        <f>"Place"</f>
        <v>Place</v>
      </c>
      <c r="B4" s="3" t="str">
        <f>"Competitor (Comp Num)"</f>
        <v>Competitor (Comp Num)</v>
      </c>
      <c r="C4" s="3" t="str">
        <f>"USAS Number"</f>
        <v>USAS Number</v>
      </c>
      <c r="D4" s="3" t="str">
        <f>"D1 60"</f>
        <v>D1 60</v>
      </c>
      <c r="E4" s="3" t="str">
        <f>"D2 60"</f>
        <v>D2 60</v>
      </c>
      <c r="F4" s="3" t="str">
        <f>"D3 60"</f>
        <v>D3 60</v>
      </c>
      <c r="G4" s="3" t="str">
        <f>"Aggregate"</f>
        <v>Aggregate</v>
      </c>
    </row>
    <row r="5" spans="1:7" x14ac:dyDescent="0.35">
      <c r="A5" s="2">
        <v>1</v>
      </c>
      <c r="B5" t="str">
        <f>"Kissell, Rylan (247859)"</f>
        <v>Kissell, Rylan (247859)</v>
      </c>
      <c r="C5" t="str">
        <f>"100930"</f>
        <v>100930</v>
      </c>
      <c r="D5" t="str">
        <f>"626.1"</f>
        <v>626.1</v>
      </c>
      <c r="E5" t="str">
        <f>"627.2"</f>
        <v>627.2</v>
      </c>
      <c r="F5" t="str">
        <f>"629.4"</f>
        <v>629.4</v>
      </c>
      <c r="G5" t="str">
        <f>"1,882.7"</f>
        <v>1,882.7</v>
      </c>
    </row>
    <row r="6" spans="1:7" x14ac:dyDescent="0.35">
      <c r="A6" s="2">
        <v>2</v>
      </c>
      <c r="B6" t="str">
        <f>"Shimizu, Akihito (400449)"</f>
        <v>Shimizu, Akihito (400449)</v>
      </c>
      <c r="C6" t="str">
        <f>"1044618"</f>
        <v>1044618</v>
      </c>
      <c r="D6" t="str">
        <f>"622.5"</f>
        <v>622.5</v>
      </c>
      <c r="E6" t="str">
        <f>"625.1"</f>
        <v>625.1</v>
      </c>
      <c r="F6" t="str">
        <f>"622.1"</f>
        <v>622.1</v>
      </c>
      <c r="G6" t="str">
        <f>"1,869.7"</f>
        <v>1,869.7</v>
      </c>
    </row>
    <row r="7" spans="1:7" x14ac:dyDescent="0.35">
      <c r="A7" s="2">
        <v>3</v>
      </c>
      <c r="B7" t="str">
        <f>"Zanti, Michael (106575)"</f>
        <v>Zanti, Michael (106575)</v>
      </c>
      <c r="C7" t="str">
        <f>"885"</f>
        <v>885</v>
      </c>
      <c r="D7" t="str">
        <f>"620.1"</f>
        <v>620.1</v>
      </c>
      <c r="E7" t="str">
        <f>"623.0"</f>
        <v>623.0</v>
      </c>
      <c r="F7" t="str">
        <f>"624.2"</f>
        <v>624.2</v>
      </c>
      <c r="G7" t="str">
        <f>"1,867.3"</f>
        <v>1,867.3</v>
      </c>
    </row>
    <row r="8" spans="1:7" x14ac:dyDescent="0.35">
      <c r="A8" s="2">
        <v>4</v>
      </c>
      <c r="B8" t="str">
        <f>"McAferty, Kellen (200141)"</f>
        <v>McAferty, Kellen (200141)</v>
      </c>
      <c r="C8" t="str">
        <f>"1035877"</f>
        <v>1035877</v>
      </c>
      <c r="D8" t="str">
        <f>"622.5"</f>
        <v>622.5</v>
      </c>
      <c r="E8" t="str">
        <f>"620.1"</f>
        <v>620.1</v>
      </c>
      <c r="F8" t="str">
        <f>"621.4"</f>
        <v>621.4</v>
      </c>
      <c r="G8" t="str">
        <f>"1,864.0"</f>
        <v>1,864.0</v>
      </c>
    </row>
    <row r="9" spans="1:7" x14ac:dyDescent="0.35">
      <c r="A9" s="2">
        <v>5</v>
      </c>
      <c r="B9" t="str">
        <f>"Sanchez, Matthew (242657)"</f>
        <v>Sanchez, Matthew (242657)</v>
      </c>
      <c r="C9" t="str">
        <f>"101389"</f>
        <v>101389</v>
      </c>
      <c r="D9" t="str">
        <f>"618.0"</f>
        <v>618.0</v>
      </c>
      <c r="E9" t="str">
        <f>"625.1"</f>
        <v>625.1</v>
      </c>
      <c r="F9" t="str">
        <f>"620.9"</f>
        <v>620.9</v>
      </c>
      <c r="G9" t="str">
        <f>"1,864.0"</f>
        <v>1,864.0</v>
      </c>
    </row>
    <row r="10" spans="1:7" x14ac:dyDescent="0.35">
      <c r="A10" s="2">
        <v>6</v>
      </c>
      <c r="B10" t="str">
        <f>"Clark, Richard (229901)"</f>
        <v>Clark, Richard (229901)</v>
      </c>
      <c r="C10" t="str">
        <f>"100749"</f>
        <v>100749</v>
      </c>
      <c r="D10" t="str">
        <f>"617.3"</f>
        <v>617.3</v>
      </c>
      <c r="E10" t="str">
        <f>"619.8"</f>
        <v>619.8</v>
      </c>
      <c r="F10" t="str">
        <f>"621.5"</f>
        <v>621.5</v>
      </c>
      <c r="G10" t="str">
        <f>"1,858.6"</f>
        <v>1,858.6</v>
      </c>
    </row>
    <row r="11" spans="1:7" x14ac:dyDescent="0.35">
      <c r="A11" s="2">
        <v>7</v>
      </c>
      <c r="B11" t="str">
        <f>"Evans, Brandon (356924)"</f>
        <v>Evans, Brandon (356924)</v>
      </c>
      <c r="C11" t="str">
        <f>"1043362"</f>
        <v>1043362</v>
      </c>
      <c r="D11" t="str">
        <f>"617.7"</f>
        <v>617.7</v>
      </c>
      <c r="E11" t="str">
        <f>"615.8"</f>
        <v>615.8</v>
      </c>
      <c r="F11" t="str">
        <f>"615.5"</f>
        <v>615.5</v>
      </c>
      <c r="G11" t="str">
        <f>"1,849.0"</f>
        <v>1,849.0</v>
      </c>
    </row>
    <row r="12" spans="1:7" x14ac:dyDescent="0.35">
      <c r="A12" s="2">
        <v>8</v>
      </c>
      <c r="B12" t="str">
        <f>"Cover, Chance (50286)"</f>
        <v>Cover, Chance (50286)</v>
      </c>
      <c r="C12" t="str">
        <f>"1032905"</f>
        <v>1032905</v>
      </c>
      <c r="D12" t="str">
        <f>"618.3"</f>
        <v>618.3</v>
      </c>
      <c r="E12" t="str">
        <f>"615.0"</f>
        <v>615.0</v>
      </c>
      <c r="F12" t="str">
        <f>"610.5"</f>
        <v>610.5</v>
      </c>
      <c r="G12" t="str">
        <f>"1,843.8"</f>
        <v>1,843.8</v>
      </c>
    </row>
    <row r="13" spans="1:7" x14ac:dyDescent="0.35">
      <c r="A13" s="2">
        <v>9</v>
      </c>
      <c r="B13" t="str">
        <f>"Lake, Griffin (277543)"</f>
        <v>Lake, Griffin (277543)</v>
      </c>
      <c r="C13" t="str">
        <f>"1038990"</f>
        <v>1038990</v>
      </c>
      <c r="D13" t="str">
        <f>"613.4"</f>
        <v>613.4</v>
      </c>
      <c r="E13" t="str">
        <f>"612.8"</f>
        <v>612.8</v>
      </c>
      <c r="F13" t="str">
        <f>"614.2"</f>
        <v>614.2</v>
      </c>
      <c r="G13" t="str">
        <f>"1,840.4"</f>
        <v>1,840.4</v>
      </c>
    </row>
    <row r="14" spans="1:7" x14ac:dyDescent="0.35">
      <c r="A14" s="2">
        <v>10</v>
      </c>
      <c r="B14" t="str">
        <f>"Stout, Matthew  (335809)"</f>
        <v>Stout, Matthew  (335809)</v>
      </c>
      <c r="C14" t="str">
        <f>"1042872"</f>
        <v>1042872</v>
      </c>
      <c r="D14" t="str">
        <f>"618.5"</f>
        <v>618.5</v>
      </c>
      <c r="E14" t="str">
        <f>"605.2"</f>
        <v>605.2</v>
      </c>
      <c r="F14" t="str">
        <f>"615.9"</f>
        <v>615.9</v>
      </c>
      <c r="G14" t="str">
        <f>"1,839.6"</f>
        <v>1,839.6</v>
      </c>
    </row>
    <row r="15" spans="1:7" x14ac:dyDescent="0.35">
      <c r="A15" s="2">
        <v>11</v>
      </c>
      <c r="B15" t="str">
        <f>"Duross, Andrew (254474)"</f>
        <v>Duross, Andrew (254474)</v>
      </c>
      <c r="C15" t="str">
        <f>"102896"</f>
        <v>102896</v>
      </c>
      <c r="D15" t="str">
        <f>"607.5"</f>
        <v>607.5</v>
      </c>
      <c r="E15" t="str">
        <f>"613.3"</f>
        <v>613.3</v>
      </c>
      <c r="F15" t="str">
        <f>"616.3"</f>
        <v>616.3</v>
      </c>
      <c r="G15" t="str">
        <f>"1,837.1"</f>
        <v>1,837.1</v>
      </c>
    </row>
    <row r="16" spans="1:7" x14ac:dyDescent="0.35">
      <c r="A16" s="2">
        <v>12</v>
      </c>
      <c r="B16" t="str">
        <f>"Gregory, Dylan (357120)"</f>
        <v>Gregory, Dylan (357120)</v>
      </c>
      <c r="C16" t="str">
        <f>"1042155"</f>
        <v>1042155</v>
      </c>
      <c r="D16" t="str">
        <f>"609.8"</f>
        <v>609.8</v>
      </c>
      <c r="E16" t="str">
        <f>"615.1"</f>
        <v>615.1</v>
      </c>
      <c r="F16" t="str">
        <f>"611.4"</f>
        <v>611.4</v>
      </c>
      <c r="G16" t="str">
        <f>"1,836.3"</f>
        <v>1,836.3</v>
      </c>
    </row>
    <row r="17" spans="1:7" x14ac:dyDescent="0.35">
      <c r="A17" s="2">
        <v>13</v>
      </c>
      <c r="B17" t="str">
        <f>"Weaver, Saxon (339717)"</f>
        <v>Weaver, Saxon (339717)</v>
      </c>
      <c r="C17" t="str">
        <f>"1042669"</f>
        <v>1042669</v>
      </c>
      <c r="D17" t="str">
        <f>"614.2"</f>
        <v>614.2</v>
      </c>
      <c r="E17" t="str">
        <f>"611.1"</f>
        <v>611.1</v>
      </c>
      <c r="F17" t="str">
        <f>"608.2"</f>
        <v>608.2</v>
      </c>
      <c r="G17" t="str">
        <f>"1,833.5"</f>
        <v>1,833.5</v>
      </c>
    </row>
    <row r="18" spans="1:7" x14ac:dyDescent="0.35">
      <c r="A18" s="2">
        <v>14</v>
      </c>
      <c r="B18" t="str">
        <f>"Hotko, Anthony (332337)"</f>
        <v>Hotko, Anthony (332337)</v>
      </c>
      <c r="C18" t="str">
        <f>"1042280"</f>
        <v>1042280</v>
      </c>
      <c r="D18" t="str">
        <f>"606.8"</f>
        <v>606.8</v>
      </c>
      <c r="E18" t="str">
        <f>"610.7"</f>
        <v>610.7</v>
      </c>
      <c r="F18" t="str">
        <f>"613.0"</f>
        <v>613.0</v>
      </c>
      <c r="G18" t="str">
        <f>"1,830.5"</f>
        <v>1,830.5</v>
      </c>
    </row>
    <row r="19" spans="1:7" x14ac:dyDescent="0.35">
      <c r="A19" s="2">
        <v>15</v>
      </c>
      <c r="B19" t="str">
        <f>"Joarder, Alok (299279)"</f>
        <v>Joarder, Alok (299279)</v>
      </c>
      <c r="C19" t="str">
        <f>"1038836"</f>
        <v>1038836</v>
      </c>
      <c r="D19" t="str">
        <f>"607.4"</f>
        <v>607.4</v>
      </c>
      <c r="E19" t="str">
        <f>"607.7"</f>
        <v>607.7</v>
      </c>
      <c r="F19" t="str">
        <f>"607.9"</f>
        <v>607.9</v>
      </c>
      <c r="G19" t="str">
        <f>"1,823.0"</f>
        <v>1,823.0</v>
      </c>
    </row>
    <row r="20" spans="1:7" x14ac:dyDescent="0.35">
      <c r="A20" s="2">
        <v>16</v>
      </c>
      <c r="B20" t="str">
        <f>"Wisman, Jacob (280941)"</f>
        <v>Wisman, Jacob (280941)</v>
      </c>
      <c r="C20" t="str">
        <f>"103926"</f>
        <v>103926</v>
      </c>
      <c r="D20" t="str">
        <f>"602.0"</f>
        <v>602.0</v>
      </c>
      <c r="E20" t="str">
        <f>"613.8"</f>
        <v>613.8</v>
      </c>
      <c r="F20" t="str">
        <f>"605.7"</f>
        <v>605.7</v>
      </c>
      <c r="G20" t="str">
        <f>"1,821.5"</f>
        <v>1,821.5</v>
      </c>
    </row>
    <row r="21" spans="1:7" x14ac:dyDescent="0.35">
      <c r="A21" s="2">
        <v>17</v>
      </c>
      <c r="B21" t="str">
        <f>"Lopez Gasca, Ivan Camilo (400447)"</f>
        <v>Lopez Gasca, Ivan Camilo (400447)</v>
      </c>
      <c r="C21" t="str">
        <f>"1044508"</f>
        <v>1044508</v>
      </c>
      <c r="D21" t="str">
        <f>"605.6"</f>
        <v>605.6</v>
      </c>
      <c r="E21" t="str">
        <f>"611.2"</f>
        <v>611.2</v>
      </c>
      <c r="F21" t="str">
        <f>"598.6"</f>
        <v>598.6</v>
      </c>
      <c r="G21" t="str">
        <f>"1,815.4"</f>
        <v>1,815.4</v>
      </c>
    </row>
    <row r="22" spans="1:7" x14ac:dyDescent="0.35">
      <c r="A22" s="2">
        <v>18</v>
      </c>
      <c r="B22" t="str">
        <f>"Kovach, Joseph (341888)"</f>
        <v>Kovach, Joseph (341888)</v>
      </c>
      <c r="C22" t="str">
        <f>"1042594"</f>
        <v>1042594</v>
      </c>
      <c r="D22" t="str">
        <f>"609.7"</f>
        <v>609.7</v>
      </c>
      <c r="E22" t="str">
        <f>"604.0"</f>
        <v>604.0</v>
      </c>
      <c r="F22" t="str">
        <f>"597.3"</f>
        <v>597.3</v>
      </c>
      <c r="G22" t="str">
        <f>"1,811.0"</f>
        <v>1,811.0</v>
      </c>
    </row>
    <row r="23" spans="1:7" x14ac:dyDescent="0.35">
      <c r="A23" s="2">
        <v>19</v>
      </c>
      <c r="B23" t="str">
        <f>"Pall, Alex (332334)"</f>
        <v>Pall, Alex (332334)</v>
      </c>
      <c r="C23" t="str">
        <f>"1043437"</f>
        <v>1043437</v>
      </c>
      <c r="D23" t="str">
        <f>"600.9"</f>
        <v>600.9</v>
      </c>
      <c r="E23" t="str">
        <f>"603.0"</f>
        <v>603.0</v>
      </c>
      <c r="F23" t="str">
        <f>"604.1"</f>
        <v>604.1</v>
      </c>
      <c r="G23" t="str">
        <f>"1,808.0"</f>
        <v>1,808.0</v>
      </c>
    </row>
    <row r="24" spans="1:7" x14ac:dyDescent="0.35">
      <c r="A24" s="2">
        <v>20</v>
      </c>
      <c r="B24" t="str">
        <f>"Perkowski, Teagan (218311)"</f>
        <v>Perkowski, Teagan (218311)</v>
      </c>
      <c r="C24" t="str">
        <f>"1040866"</f>
        <v>1040866</v>
      </c>
      <c r="D24" t="str">
        <f>"599.3"</f>
        <v>599.3</v>
      </c>
      <c r="E24" t="str">
        <f>"601.5"</f>
        <v>601.5</v>
      </c>
      <c r="F24" t="str">
        <f>"605.7"</f>
        <v>605.7</v>
      </c>
      <c r="G24" t="str">
        <f>"1,806.5"</f>
        <v>1,806.5</v>
      </c>
    </row>
    <row r="25" spans="1:7" x14ac:dyDescent="0.35">
      <c r="A25" s="2">
        <v>21</v>
      </c>
      <c r="B25" t="str">
        <f>"Uhrich, Devin (310480)"</f>
        <v>Uhrich, Devin (310480)</v>
      </c>
      <c r="C25" t="str">
        <f>"1039384"</f>
        <v>1039384</v>
      </c>
      <c r="D25" t="str">
        <f>"598.2"</f>
        <v>598.2</v>
      </c>
      <c r="E25" t="str">
        <f>"596.6"</f>
        <v>596.6</v>
      </c>
      <c r="F25" t="str">
        <f>"610.3"</f>
        <v>610.3</v>
      </c>
      <c r="G25" t="str">
        <f>"1,805.1"</f>
        <v>1,805.1</v>
      </c>
    </row>
    <row r="26" spans="1:7" x14ac:dyDescent="0.35">
      <c r="A26" s="2">
        <v>22</v>
      </c>
      <c r="B26" t="str">
        <f>"Myers, Trey (382637)"</f>
        <v>Myers, Trey (382637)</v>
      </c>
      <c r="C26" t="str">
        <f>"1043406"</f>
        <v>1043406</v>
      </c>
      <c r="D26" t="str">
        <f>"605.9"</f>
        <v>605.9</v>
      </c>
      <c r="E26" t="str">
        <f>"600.1"</f>
        <v>600.1</v>
      </c>
      <c r="F26" t="str">
        <f>"596.6"</f>
        <v>596.6</v>
      </c>
      <c r="G26" t="str">
        <f>"1,802.6"</f>
        <v>1,802.6</v>
      </c>
    </row>
    <row r="27" spans="1:7" x14ac:dyDescent="0.35">
      <c r="A27" s="2">
        <v>23</v>
      </c>
      <c r="B27" t="str">
        <f>"Barth, Tanner (305383)"</f>
        <v>Barth, Tanner (305383)</v>
      </c>
      <c r="C27" t="str">
        <f>"1039218"</f>
        <v>1039218</v>
      </c>
      <c r="D27" t="str">
        <f>"599.8"</f>
        <v>599.8</v>
      </c>
      <c r="E27" t="str">
        <f>"601.0"</f>
        <v>601.0</v>
      </c>
      <c r="F27" t="str">
        <f>"601.4"</f>
        <v>601.4</v>
      </c>
      <c r="G27" t="str">
        <f>"1,802.2"</f>
        <v>1,802.2</v>
      </c>
    </row>
    <row r="28" spans="1:7" x14ac:dyDescent="0.35">
      <c r="A28" s="2">
        <v>24</v>
      </c>
      <c r="B28" t="str">
        <f>"Hamilton, John (293255)"</f>
        <v>Hamilton, John (293255)</v>
      </c>
      <c r="C28" t="str">
        <f>"1040415"</f>
        <v>1040415</v>
      </c>
      <c r="D28" t="str">
        <f>"599.8"</f>
        <v>599.8</v>
      </c>
      <c r="E28" t="str">
        <f>"598.7"</f>
        <v>598.7</v>
      </c>
      <c r="F28" t="str">
        <f>"603.3"</f>
        <v>603.3</v>
      </c>
      <c r="G28" t="str">
        <f>"1,801.8"</f>
        <v>1,801.8</v>
      </c>
    </row>
    <row r="29" spans="1:7" x14ac:dyDescent="0.35">
      <c r="A29" s="2">
        <v>25</v>
      </c>
      <c r="B29" t="str">
        <f>"Kapper, Jake (331579)"</f>
        <v>Kapper, Jake (331579)</v>
      </c>
      <c r="C29" t="str">
        <f>"1040767"</f>
        <v>1040767</v>
      </c>
      <c r="D29" t="str">
        <f>"596.0"</f>
        <v>596.0</v>
      </c>
      <c r="E29" t="str">
        <f>"598.0"</f>
        <v>598.0</v>
      </c>
      <c r="F29" t="str">
        <f>"606.3"</f>
        <v>606.3</v>
      </c>
      <c r="G29" t="str">
        <f>"1,800.3"</f>
        <v>1,800.3</v>
      </c>
    </row>
    <row r="30" spans="1:7" x14ac:dyDescent="0.35">
      <c r="A30" s="2">
        <v>26</v>
      </c>
      <c r="B30" t="str">
        <f>"Borthwick, Paul (162283)"</f>
        <v>Borthwick, Paul (162283)</v>
      </c>
      <c r="C30" t="str">
        <f>"1029527"</f>
        <v>1029527</v>
      </c>
      <c r="D30" t="str">
        <f>"603.8"</f>
        <v>603.8</v>
      </c>
      <c r="E30" t="str">
        <f>"602.4"</f>
        <v>602.4</v>
      </c>
      <c r="F30" t="str">
        <f>"593.7"</f>
        <v>593.7</v>
      </c>
      <c r="G30" t="str">
        <f>"1,799.9"</f>
        <v>1,799.9</v>
      </c>
    </row>
    <row r="31" spans="1:7" x14ac:dyDescent="0.35">
      <c r="A31" s="2">
        <v>27</v>
      </c>
      <c r="B31" t="str">
        <f>"Guise, Owen (308831)"</f>
        <v>Guise, Owen (308831)</v>
      </c>
      <c r="C31" t="str">
        <f>"1043466"</f>
        <v>1043466</v>
      </c>
      <c r="D31" t="str">
        <f>"598.4"</f>
        <v>598.4</v>
      </c>
      <c r="E31" t="str">
        <f>"598.0"</f>
        <v>598.0</v>
      </c>
      <c r="F31" t="str">
        <f>"601.5"</f>
        <v>601.5</v>
      </c>
      <c r="G31" t="str">
        <f>"1,797.9"</f>
        <v>1,797.9</v>
      </c>
    </row>
    <row r="32" spans="1:7" x14ac:dyDescent="0.35">
      <c r="A32" s="2">
        <v>28</v>
      </c>
      <c r="B32" t="str">
        <f>"Kim, Ryan (328040)"</f>
        <v>Kim, Ryan (328040)</v>
      </c>
      <c r="C32" t="str">
        <f>"1040953"</f>
        <v>1040953</v>
      </c>
      <c r="D32" t="str">
        <f>"603.8"</f>
        <v>603.8</v>
      </c>
      <c r="E32" t="str">
        <f>"596.2"</f>
        <v>596.2</v>
      </c>
      <c r="F32" t="str">
        <f>"594.4"</f>
        <v>594.4</v>
      </c>
      <c r="G32" t="str">
        <f>"1,794.4"</f>
        <v>1,794.4</v>
      </c>
    </row>
    <row r="33" spans="1:7" x14ac:dyDescent="0.35">
      <c r="A33" s="2">
        <v>29</v>
      </c>
      <c r="B33" t="str">
        <f>"Guise, Eli  (249842)"</f>
        <v>Guise, Eli  (249842)</v>
      </c>
      <c r="C33" t="str">
        <f>"1041053"</f>
        <v>1041053</v>
      </c>
      <c r="D33" t="str">
        <f>"594.7"</f>
        <v>594.7</v>
      </c>
      <c r="E33" t="str">
        <f>"606.9"</f>
        <v>606.9</v>
      </c>
      <c r="F33" t="str">
        <f>"589.0"</f>
        <v>589.0</v>
      </c>
      <c r="G33" t="str">
        <f>"1,790.6"</f>
        <v>1,790.6</v>
      </c>
    </row>
    <row r="34" spans="1:7" x14ac:dyDescent="0.35">
      <c r="A34" s="2">
        <v>30</v>
      </c>
      <c r="B34" t="str">
        <f>"Bergman, Deitrich (279872)"</f>
        <v>Bergman, Deitrich (279872)</v>
      </c>
      <c r="C34" t="str">
        <f>"1040713"</f>
        <v>1040713</v>
      </c>
      <c r="D34" t="str">
        <f>"598.3"</f>
        <v>598.3</v>
      </c>
      <c r="E34" t="str">
        <f>"596.1"</f>
        <v>596.1</v>
      </c>
      <c r="F34" t="str">
        <f>"593.0"</f>
        <v>593.0</v>
      </c>
      <c r="G34" t="str">
        <f>"1,787.4"</f>
        <v>1,787.4</v>
      </c>
    </row>
    <row r="35" spans="1:7" x14ac:dyDescent="0.35">
      <c r="A35" s="2">
        <v>31</v>
      </c>
      <c r="B35" t="str">
        <f>"Poole, Josh (375344)"</f>
        <v>Poole, Josh (375344)</v>
      </c>
      <c r="C35" t="str">
        <f>"1044512"</f>
        <v>1044512</v>
      </c>
      <c r="D35" t="str">
        <f>"595.4"</f>
        <v>595.4</v>
      </c>
      <c r="E35" t="str">
        <f>"596.5"</f>
        <v>596.5</v>
      </c>
      <c r="F35" t="str">
        <f>"595.3"</f>
        <v>595.3</v>
      </c>
      <c r="G35" t="str">
        <f>"1,787.2"</f>
        <v>1,787.2</v>
      </c>
    </row>
    <row r="36" spans="1:7" x14ac:dyDescent="0.35">
      <c r="A36" s="2">
        <v>32</v>
      </c>
      <c r="B36" t="str">
        <f>"Kohrman, William (326322)"</f>
        <v>Kohrman, William (326322)</v>
      </c>
      <c r="C36" t="str">
        <f>"1042611"</f>
        <v>1042611</v>
      </c>
      <c r="D36" t="str">
        <f>"587.3"</f>
        <v>587.3</v>
      </c>
      <c r="E36" t="str">
        <f>"598.6"</f>
        <v>598.6</v>
      </c>
      <c r="F36" t="str">
        <f>"597.9"</f>
        <v>597.9</v>
      </c>
      <c r="G36" t="str">
        <f>"1,783.8"</f>
        <v>1,783.8</v>
      </c>
    </row>
    <row r="37" spans="1:7" x14ac:dyDescent="0.35">
      <c r="A37" s="2">
        <v>33</v>
      </c>
      <c r="B37" t="str">
        <f>"Bell, Hayden (249267)"</f>
        <v>Bell, Hayden (249267)</v>
      </c>
      <c r="C37" t="str">
        <f>"102899"</f>
        <v>102899</v>
      </c>
      <c r="D37" t="str">
        <f>"590.9"</f>
        <v>590.9</v>
      </c>
      <c r="E37" t="str">
        <f>"595.1"</f>
        <v>595.1</v>
      </c>
      <c r="F37" t="str">
        <f>"597.6"</f>
        <v>597.6</v>
      </c>
      <c r="G37" t="str">
        <f>"1,783.6"</f>
        <v>1,783.6</v>
      </c>
    </row>
    <row r="38" spans="1:7" x14ac:dyDescent="0.35">
      <c r="A38" s="2">
        <v>34</v>
      </c>
      <c r="B38" t="str">
        <f>"Berens, Shane (252835)"</f>
        <v>Berens, Shane (252835)</v>
      </c>
      <c r="C38" t="str">
        <f>"1039311"</f>
        <v>1039311</v>
      </c>
      <c r="D38" t="str">
        <f>"592.5"</f>
        <v>592.5</v>
      </c>
      <c r="E38" t="str">
        <f>"581.4"</f>
        <v>581.4</v>
      </c>
      <c r="F38" t="str">
        <f>"597.5"</f>
        <v>597.5</v>
      </c>
      <c r="G38" t="str">
        <f>"1,771.4"</f>
        <v>1,771.4</v>
      </c>
    </row>
    <row r="39" spans="1:7" x14ac:dyDescent="0.35">
      <c r="A39" s="2">
        <v>35</v>
      </c>
      <c r="B39" t="str">
        <f>"Punukollu, Rushil (381199)"</f>
        <v>Punukollu, Rushil (381199)</v>
      </c>
      <c r="C39" t="str">
        <f>"1044545"</f>
        <v>1044545</v>
      </c>
      <c r="D39" t="str">
        <f>"582.7"</f>
        <v>582.7</v>
      </c>
      <c r="E39" t="str">
        <f>"592.1"</f>
        <v>592.1</v>
      </c>
      <c r="F39" t="str">
        <f>"595.5"</f>
        <v>595.5</v>
      </c>
      <c r="G39" t="str">
        <f>"1,770.3"</f>
        <v>1,770.3</v>
      </c>
    </row>
    <row r="40" spans="1:7" x14ac:dyDescent="0.35">
      <c r="A40" s="2">
        <v>36</v>
      </c>
      <c r="B40" t="str">
        <f>"Tegeler, Liam (367351)"</f>
        <v>Tegeler, Liam (367351)</v>
      </c>
      <c r="C40" t="str">
        <f>"1042712"</f>
        <v>1042712</v>
      </c>
      <c r="D40" t="str">
        <f>"587.7"</f>
        <v>587.7</v>
      </c>
      <c r="E40" t="str">
        <f>"590.4"</f>
        <v>590.4</v>
      </c>
      <c r="F40" t="str">
        <f>"587.4"</f>
        <v>587.4</v>
      </c>
      <c r="G40" t="str">
        <f>"1,765.5"</f>
        <v>1,765.5</v>
      </c>
    </row>
    <row r="41" spans="1:7" x14ac:dyDescent="0.35">
      <c r="A41" s="2">
        <v>37</v>
      </c>
      <c r="B41" t="str">
        <f>"Sullivan , Parker  (359931)"</f>
        <v>Sullivan , Parker  (359931)</v>
      </c>
      <c r="C41" t="str">
        <f>"1042770"</f>
        <v>1042770</v>
      </c>
      <c r="D41" t="str">
        <f>"583.6"</f>
        <v>583.6</v>
      </c>
      <c r="E41" t="str">
        <f>"590.6"</f>
        <v>590.6</v>
      </c>
      <c r="F41" t="str">
        <f>"590.9"</f>
        <v>590.9</v>
      </c>
      <c r="G41" t="str">
        <f>"1,765.1"</f>
        <v>1,765.1</v>
      </c>
    </row>
    <row r="42" spans="1:7" x14ac:dyDescent="0.35">
      <c r="A42" s="2">
        <v>38</v>
      </c>
      <c r="B42" t="str">
        <f>"Ogoreuc, Jack (345230)"</f>
        <v>Ogoreuc, Jack (345230)</v>
      </c>
      <c r="C42" t="str">
        <f>"1042533"</f>
        <v>1042533</v>
      </c>
      <c r="D42" t="str">
        <f>"587.4"</f>
        <v>587.4</v>
      </c>
      <c r="E42" t="str">
        <f>"586.9"</f>
        <v>586.9</v>
      </c>
      <c r="F42" t="str">
        <f>"588.9"</f>
        <v>588.9</v>
      </c>
      <c r="G42" t="str">
        <f>"1,763.2"</f>
        <v>1,763.2</v>
      </c>
    </row>
    <row r="43" spans="1:7" x14ac:dyDescent="0.35">
      <c r="A43" s="2">
        <v>39</v>
      </c>
      <c r="B43" t="str">
        <f>"Ware, Nathan  (358899)"</f>
        <v>Ware, Nathan  (358899)</v>
      </c>
      <c r="C43" t="str">
        <f>"1042744"</f>
        <v>1042744</v>
      </c>
      <c r="D43" t="str">
        <f>"592.3"</f>
        <v>592.3</v>
      </c>
      <c r="E43" t="str">
        <f>"586.8"</f>
        <v>586.8</v>
      </c>
      <c r="F43" t="str">
        <f>"579.8"</f>
        <v>579.8</v>
      </c>
      <c r="G43" t="str">
        <f>"1,758.9"</f>
        <v>1,758.9</v>
      </c>
    </row>
    <row r="44" spans="1:7" x14ac:dyDescent="0.35">
      <c r="A44" s="2">
        <v>40</v>
      </c>
      <c r="B44" t="str">
        <f>"Pham, Matthew (330273)"</f>
        <v>Pham, Matthew (330273)</v>
      </c>
      <c r="C44" t="str">
        <f>"1040777"</f>
        <v>1040777</v>
      </c>
      <c r="D44" t="str">
        <f>"580.4"</f>
        <v>580.4</v>
      </c>
      <c r="E44" t="str">
        <f>"578.6"</f>
        <v>578.6</v>
      </c>
      <c r="F44" t="str">
        <f>"596.7"</f>
        <v>596.7</v>
      </c>
      <c r="G44" t="str">
        <f>"1,755.7"</f>
        <v>1,755.7</v>
      </c>
    </row>
    <row r="45" spans="1:7" x14ac:dyDescent="0.35">
      <c r="A45" s="2">
        <v>41</v>
      </c>
      <c r="B45" t="str">
        <f>"James, Gatlin (231363)"</f>
        <v>James, Gatlin (231363)</v>
      </c>
      <c r="C45" t="str">
        <f>"1042378"</f>
        <v>1042378</v>
      </c>
      <c r="D45" t="str">
        <f>"587.6"</f>
        <v>587.6</v>
      </c>
      <c r="E45" t="str">
        <f>"581.4"</f>
        <v>581.4</v>
      </c>
      <c r="F45" t="str">
        <f>"583.1"</f>
        <v>583.1</v>
      </c>
      <c r="G45" t="str">
        <f>"1,752.1"</f>
        <v>1,752.1</v>
      </c>
    </row>
    <row r="46" spans="1:7" x14ac:dyDescent="0.35">
      <c r="A46" s="2">
        <v>42</v>
      </c>
      <c r="B46" t="str">
        <f>"Parziale, Brian (205160)"</f>
        <v>Parziale, Brian (205160)</v>
      </c>
      <c r="C46" t="str">
        <f>"102543"</f>
        <v>102543</v>
      </c>
      <c r="D46" t="str">
        <f>"576.7"</f>
        <v>576.7</v>
      </c>
      <c r="E46" t="str">
        <f>"585.1"</f>
        <v>585.1</v>
      </c>
      <c r="F46" t="str">
        <f>"584.5"</f>
        <v>584.5</v>
      </c>
      <c r="G46" t="str">
        <f>"1,746.3"</f>
        <v>1,746.3</v>
      </c>
    </row>
    <row r="47" spans="1:7" x14ac:dyDescent="0.35">
      <c r="A47" s="2">
        <v>43</v>
      </c>
      <c r="B47" t="str">
        <f>"Seaborne, Spencer  (330042)"</f>
        <v>Seaborne, Spencer  (330042)</v>
      </c>
      <c r="C47" t="str">
        <f>"1044639"</f>
        <v>1044639</v>
      </c>
      <c r="D47" t="str">
        <f>"578.1"</f>
        <v>578.1</v>
      </c>
      <c r="E47" t="str">
        <f>"582.5"</f>
        <v>582.5</v>
      </c>
      <c r="F47" t="str">
        <f>"582.2"</f>
        <v>582.2</v>
      </c>
      <c r="G47" t="str">
        <f>"1,742.8"</f>
        <v>1,742.8</v>
      </c>
    </row>
    <row r="48" spans="1:7" x14ac:dyDescent="0.35">
      <c r="A48" s="2">
        <v>44</v>
      </c>
      <c r="B48" t="str">
        <f>"Roseberry II, Bobby (367088)"</f>
        <v>Roseberry II, Bobby (367088)</v>
      </c>
      <c r="C48" t="str">
        <f>"1042966"</f>
        <v>1042966</v>
      </c>
      <c r="D48" t="str">
        <f>"572.6"</f>
        <v>572.6</v>
      </c>
      <c r="E48" t="str">
        <f>"581.0"</f>
        <v>581.0</v>
      </c>
      <c r="F48" t="str">
        <f>"581.7"</f>
        <v>581.7</v>
      </c>
      <c r="G48" t="str">
        <f>"1,735.3"</f>
        <v>1,735.3</v>
      </c>
    </row>
    <row r="49" spans="1:7" x14ac:dyDescent="0.35">
      <c r="A49" s="2">
        <v>45</v>
      </c>
      <c r="B49" t="str">
        <f>"Bourassa, Jeffrey (357111)"</f>
        <v>Bourassa, Jeffrey (357111)</v>
      </c>
      <c r="C49" t="str">
        <f>"1044681"</f>
        <v>1044681</v>
      </c>
      <c r="D49" t="str">
        <f>"572.8"</f>
        <v>572.8</v>
      </c>
      <c r="E49" t="str">
        <f>"582.0"</f>
        <v>582.0</v>
      </c>
      <c r="F49" t="str">
        <f>"571.5"</f>
        <v>571.5</v>
      </c>
      <c r="G49" t="str">
        <f>"1,726.3"</f>
        <v>1,726.3</v>
      </c>
    </row>
    <row r="50" spans="1:7" x14ac:dyDescent="0.35">
      <c r="A50" s="2">
        <v>46</v>
      </c>
      <c r="B50" t="str">
        <f>"Byers, Zachery (335439)"</f>
        <v>Byers, Zachery (335439)</v>
      </c>
      <c r="C50" t="str">
        <f>"1041088"</f>
        <v>1041088</v>
      </c>
      <c r="D50" t="str">
        <f>"575.7"</f>
        <v>575.7</v>
      </c>
      <c r="E50" t="str">
        <f>"569.2"</f>
        <v>569.2</v>
      </c>
      <c r="F50" t="str">
        <f>"580.8"</f>
        <v>580.8</v>
      </c>
      <c r="G50" t="str">
        <f>"1,725.7"</f>
        <v>1,725.7</v>
      </c>
    </row>
    <row r="51" spans="1:7" x14ac:dyDescent="0.35">
      <c r="A51" s="2">
        <v>47</v>
      </c>
      <c r="B51" t="str">
        <f>"Shipley, James (320956)"</f>
        <v>Shipley, James (320956)</v>
      </c>
      <c r="C51" t="str">
        <f>"1040494"</f>
        <v>1040494</v>
      </c>
      <c r="D51" t="str">
        <f>"576.1"</f>
        <v>576.1</v>
      </c>
      <c r="E51" t="str">
        <f>"575.6"</f>
        <v>575.6</v>
      </c>
      <c r="F51" t="str">
        <f>"573.5"</f>
        <v>573.5</v>
      </c>
      <c r="G51" t="str">
        <f>"1,725.2"</f>
        <v>1,725.2</v>
      </c>
    </row>
    <row r="52" spans="1:7" x14ac:dyDescent="0.35">
      <c r="A52" s="2">
        <v>48</v>
      </c>
      <c r="B52" t="str">
        <f>"Yang, Bohan (363166)"</f>
        <v>Yang, Bohan (363166)</v>
      </c>
      <c r="C52" t="str">
        <f>"1042904"</f>
        <v>1042904</v>
      </c>
      <c r="D52" t="str">
        <f>"578.9"</f>
        <v>578.9</v>
      </c>
      <c r="E52" t="str">
        <f>"575.4"</f>
        <v>575.4</v>
      </c>
      <c r="F52" t="str">
        <f>"564.1"</f>
        <v>564.1</v>
      </c>
      <c r="G52" t="str">
        <f>"1,718.4"</f>
        <v>1,718.4</v>
      </c>
    </row>
    <row r="53" spans="1:7" x14ac:dyDescent="0.35">
      <c r="A53" s="2">
        <v>49</v>
      </c>
      <c r="B53" t="str">
        <f>"Bates, Ethan (335358)"</f>
        <v>Bates, Ethan (335358)</v>
      </c>
      <c r="C53" t="str">
        <f>"1042734"</f>
        <v>1042734</v>
      </c>
      <c r="D53" t="str">
        <f>"559.7"</f>
        <v>559.7</v>
      </c>
      <c r="E53" t="str">
        <f>"578.1"</f>
        <v>578.1</v>
      </c>
      <c r="F53" t="str">
        <f>"574.3"</f>
        <v>574.3</v>
      </c>
      <c r="G53" t="str">
        <f>"1,712.1"</f>
        <v>1,712.1</v>
      </c>
    </row>
    <row r="54" spans="1:7" x14ac:dyDescent="0.35">
      <c r="A54" s="2">
        <v>50</v>
      </c>
      <c r="B54" t="str">
        <f>"Lastra, Guido (400446)"</f>
        <v>Lastra, Guido (400446)</v>
      </c>
      <c r="C54" t="str">
        <f>"112319"</f>
        <v>112319</v>
      </c>
      <c r="D54" t="str">
        <f>"569.0"</f>
        <v>569.0</v>
      </c>
      <c r="E54" t="str">
        <f>"567.8"</f>
        <v>567.8</v>
      </c>
      <c r="F54" t="str">
        <f>"566.4"</f>
        <v>566.4</v>
      </c>
      <c r="G54" t="str">
        <f>"1,703.2"</f>
        <v>1,703.2</v>
      </c>
    </row>
    <row r="55" spans="1:7" x14ac:dyDescent="0.35">
      <c r="A55" s="2">
        <v>51</v>
      </c>
      <c r="B55" t="str">
        <f>"Adkins, Mitchell (377850)"</f>
        <v>Adkins, Mitchell (377850)</v>
      </c>
      <c r="C55" t="str">
        <f>"1043358"</f>
        <v>1043358</v>
      </c>
      <c r="D55" t="str">
        <f>"565.8"</f>
        <v>565.8</v>
      </c>
      <c r="E55" t="str">
        <f>"561.4"</f>
        <v>561.4</v>
      </c>
      <c r="F55" t="str">
        <f>"575.5"</f>
        <v>575.5</v>
      </c>
      <c r="G55" t="str">
        <f>"1,702.7"</f>
        <v>1,702.7</v>
      </c>
    </row>
    <row r="56" spans="1:7" x14ac:dyDescent="0.35">
      <c r="A56" s="2">
        <v>52</v>
      </c>
      <c r="B56" t="str">
        <f>"Wall, Jackson (356331)"</f>
        <v>Wall, Jackson (356331)</v>
      </c>
      <c r="C56" t="str">
        <f>"1042252"</f>
        <v>1042252</v>
      </c>
      <c r="D56" t="str">
        <f>"554.9"</f>
        <v>554.9</v>
      </c>
      <c r="E56" t="str">
        <f>"567.8"</f>
        <v>567.8</v>
      </c>
      <c r="F56" t="str">
        <f>"560.9"</f>
        <v>560.9</v>
      </c>
      <c r="G56" t="str">
        <f>"1,683.6"</f>
        <v>1,683.6</v>
      </c>
    </row>
    <row r="57" spans="1:7" x14ac:dyDescent="0.35">
      <c r="A57" s="2">
        <v>53</v>
      </c>
      <c r="B57" t="str">
        <f>"Shultz, Brandon (355187)"</f>
        <v>Shultz, Brandon (355187)</v>
      </c>
      <c r="C57" t="str">
        <f>"1043344"</f>
        <v>1043344</v>
      </c>
      <c r="D57" t="str">
        <f>"562.7"</f>
        <v>562.7</v>
      </c>
      <c r="E57" t="str">
        <f>"553.1"</f>
        <v>553.1</v>
      </c>
      <c r="F57" t="str">
        <f>"547.4"</f>
        <v>547.4</v>
      </c>
      <c r="G57" t="str">
        <f>"1,663.2"</f>
        <v>1,663.2</v>
      </c>
    </row>
    <row r="58" spans="1:7" x14ac:dyDescent="0.35">
      <c r="A58" s="2">
        <v>54</v>
      </c>
      <c r="B58" t="str">
        <f>"Jockers, Corbin (346139)"</f>
        <v>Jockers, Corbin (346139)</v>
      </c>
      <c r="C58" t="str">
        <f>"1043370"</f>
        <v>1043370</v>
      </c>
      <c r="D58" t="str">
        <f>"541.9"</f>
        <v>541.9</v>
      </c>
      <c r="E58" t="str">
        <f>"560.0"</f>
        <v>560.0</v>
      </c>
      <c r="F58" t="str">
        <f>"560.9"</f>
        <v>560.9</v>
      </c>
      <c r="G58" t="str">
        <f>"1,662.8"</f>
        <v>1,662.8</v>
      </c>
    </row>
    <row r="59" spans="1:7" x14ac:dyDescent="0.35">
      <c r="A59" s="2">
        <v>55</v>
      </c>
      <c r="B59" t="str">
        <f>"Stelter, Mausten (361620)"</f>
        <v>Stelter, Mausten (361620)</v>
      </c>
      <c r="C59" t="str">
        <f>"1044535"</f>
        <v>1044535</v>
      </c>
      <c r="D59" t="str">
        <f>"546.8"</f>
        <v>546.8</v>
      </c>
      <c r="E59" t="str">
        <f>"555.2"</f>
        <v>555.2</v>
      </c>
      <c r="F59" t="str">
        <f>"542.3"</f>
        <v>542.3</v>
      </c>
      <c r="G59" t="str">
        <f>"1,644.3"</f>
        <v>1,644.3</v>
      </c>
    </row>
    <row r="60" spans="1:7" x14ac:dyDescent="0.35">
      <c r="A60" s="2">
        <v>56</v>
      </c>
      <c r="B60" t="str">
        <f>"Dely, John (330694)"</f>
        <v>Dely, John (330694)</v>
      </c>
      <c r="C60" t="str">
        <f>"1044713"</f>
        <v>1044713</v>
      </c>
      <c r="D60" t="str">
        <f>"542.7"</f>
        <v>542.7</v>
      </c>
      <c r="E60" t="str">
        <f>"546.4"</f>
        <v>546.4</v>
      </c>
      <c r="F60" t="str">
        <f>"549.1"</f>
        <v>549.1</v>
      </c>
      <c r="G60" t="str">
        <f>"1,638.2"</f>
        <v>1,638.2</v>
      </c>
    </row>
    <row r="61" spans="1:7" x14ac:dyDescent="0.35">
      <c r="A61" s="2">
        <v>57</v>
      </c>
      <c r="B61" t="str">
        <f>"Speck, Jon (234685)"</f>
        <v>Speck, Jon (234685)</v>
      </c>
      <c r="C61" t="str">
        <f>"15452"</f>
        <v>15452</v>
      </c>
      <c r="D61" t="str">
        <f>"528.4"</f>
        <v>528.4</v>
      </c>
      <c r="E61" t="str">
        <f>"540.3"</f>
        <v>540.3</v>
      </c>
      <c r="F61" t="str">
        <f>"524.1"</f>
        <v>524.1</v>
      </c>
      <c r="G61" t="str">
        <f>"1,592.8"</f>
        <v>1,592.8</v>
      </c>
    </row>
    <row r="147" spans="1:7" x14ac:dyDescent="0.35">
      <c r="A147" s="2" t="str">
        <f>"R1 - Men's 10m Air Rifle Standing SH1"</f>
        <v>R1 - Men's 10m Air Rifle Standing SH1</v>
      </c>
    </row>
    <row r="148" spans="1:7" x14ac:dyDescent="0.35">
      <c r="A148" s="2" t="str">
        <f>"R2 - Women's 10m Air Rifle Standing SH1"</f>
        <v>R2 - Women's 10m Air Rifle Standing SH1</v>
      </c>
    </row>
    <row r="149" spans="1:7" x14ac:dyDescent="0.35">
      <c r="A149" s="2">
        <v>1</v>
      </c>
      <c r="B149" t="str">
        <f>"Farmer, Taylor (164860)"</f>
        <v>Farmer, Taylor (164860)</v>
      </c>
      <c r="C149" t="str">
        <f>"102814"</f>
        <v>102814</v>
      </c>
      <c r="D149" t="str">
        <f>"612.0"</f>
        <v>612.0</v>
      </c>
      <c r="E149" t="str">
        <f>"609.5"</f>
        <v>609.5</v>
      </c>
      <c r="F149" t="str">
        <f>""</f>
        <v/>
      </c>
      <c r="G149" t="str">
        <f>"1,221.5"</f>
        <v>1,221.5</v>
      </c>
    </row>
    <row r="150" spans="1:7" x14ac:dyDescent="0.35">
      <c r="A150" s="2" t="str">
        <f>"R4 - Mixed 10m Air Rifle Standing SH2"</f>
        <v>R4 - Mixed 10m Air Rifle Standing SH2</v>
      </c>
    </row>
    <row r="151" spans="1:7" x14ac:dyDescent="0.35">
      <c r="A151" s="2" t="str">
        <f>"-"</f>
        <v>-</v>
      </c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</sheetPr>
  <dimension ref="A1:G62"/>
  <sheetViews>
    <sheetView workbookViewId="0">
      <selection sqref="A1:G1"/>
    </sheetView>
  </sheetViews>
  <sheetFormatPr defaultRowHeight="14.5" x14ac:dyDescent="0.35"/>
  <cols>
    <col min="1" max="1" width="6.81640625" style="3" customWidth="1"/>
    <col min="2" max="2" width="34.7265625" bestFit="1" customWidth="1"/>
    <col min="3" max="3" width="13.54296875" bestFit="1" customWidth="1"/>
    <col min="7" max="7" width="10" bestFit="1" customWidth="1"/>
  </cols>
  <sheetData>
    <row r="1" spans="1:7" x14ac:dyDescent="0.35">
      <c r="A1" s="8" t="str">
        <f>"2021 USAS Winter Air Gun - Air Rifle"</f>
        <v>2021 USAS Winter Air Gun - Air Rifle</v>
      </c>
      <c r="B1" s="8"/>
      <c r="C1" s="8"/>
      <c r="D1" s="8"/>
      <c r="E1" s="8"/>
      <c r="F1" s="8"/>
      <c r="G1" s="8"/>
    </row>
    <row r="2" spans="1:7" x14ac:dyDescent="0.35">
      <c r="A2" s="8" t="str">
        <f>"Anniston Qualification Aggregate"</f>
        <v>Anniston Qualification Aggregate</v>
      </c>
      <c r="B2" s="8"/>
      <c r="C2" s="8"/>
      <c r="D2" s="8"/>
      <c r="E2" s="8"/>
      <c r="F2" s="8"/>
      <c r="G2" s="8"/>
    </row>
    <row r="3" spans="1:7" x14ac:dyDescent="0.35">
      <c r="A3" s="8" t="str">
        <f>"Men's - Air Rifle"</f>
        <v>Men's - Air Rifle</v>
      </c>
      <c r="B3" s="8"/>
      <c r="C3" s="8"/>
      <c r="D3" s="8"/>
      <c r="E3" s="8"/>
      <c r="F3" s="8"/>
      <c r="G3" s="8"/>
    </row>
    <row r="4" spans="1:7" x14ac:dyDescent="0.35">
      <c r="A4" s="2" t="str">
        <f>"Place"</f>
        <v>Place</v>
      </c>
      <c r="B4" s="3" t="str">
        <f>"Competitor (Comp Num)"</f>
        <v>Competitor (Comp Num)</v>
      </c>
      <c r="C4" s="3" t="str">
        <f>"USAS Number"</f>
        <v>USAS Number</v>
      </c>
      <c r="D4" s="3" t="str">
        <f>"D1 60"</f>
        <v>D1 60</v>
      </c>
      <c r="E4" s="3" t="str">
        <f>"D2 60"</f>
        <v>D2 60</v>
      </c>
      <c r="F4" s="3" t="str">
        <f>"D3 60"</f>
        <v>D3 60</v>
      </c>
      <c r="G4" s="3" t="str">
        <f>"Aggregate"</f>
        <v>Aggregate</v>
      </c>
    </row>
    <row r="5" spans="1:7" x14ac:dyDescent="0.35">
      <c r="A5" s="2">
        <v>1</v>
      </c>
      <c r="B5" t="str">
        <f>"Sherry, Timothy, USA (72550)"</f>
        <v>Sherry, Timothy, USA (72550)</v>
      </c>
      <c r="C5" t="str">
        <f>"23186"</f>
        <v>23186</v>
      </c>
      <c r="D5" t="str">
        <f>"627.9"</f>
        <v>627.9</v>
      </c>
      <c r="E5" t="str">
        <f>"624.1"</f>
        <v>624.1</v>
      </c>
      <c r="F5" t="str">
        <f>"628.8"</f>
        <v>628.8</v>
      </c>
      <c r="G5" t="str">
        <f>"1,880.8"</f>
        <v>1,880.8</v>
      </c>
    </row>
    <row r="6" spans="1:7" x14ac:dyDescent="0.35">
      <c r="A6" s="2">
        <v>2</v>
      </c>
      <c r="B6" t="str">
        <f>"Kozeniesky, Lucas (122223)"</f>
        <v>Kozeniesky, Lucas (122223)</v>
      </c>
      <c r="C6" t="str">
        <f>"2707"</f>
        <v>2707</v>
      </c>
      <c r="D6" t="str">
        <f>"623.2"</f>
        <v>623.2</v>
      </c>
      <c r="E6" t="str">
        <f>"629.7"</f>
        <v>629.7</v>
      </c>
      <c r="F6" t="str">
        <f>"626.4"</f>
        <v>626.4</v>
      </c>
      <c r="G6" t="str">
        <f>"1,879.3"</f>
        <v>1,879.3</v>
      </c>
    </row>
    <row r="7" spans="1:7" x14ac:dyDescent="0.35">
      <c r="A7" s="2">
        <v>3</v>
      </c>
      <c r="B7" t="str">
        <f>"Roe, Ivan, SP4, USA (140994)"</f>
        <v>Roe, Ivan, SP4, USA (140994)</v>
      </c>
      <c r="C7" t="str">
        <f>"1034359"</f>
        <v>1034359</v>
      </c>
      <c r="D7" t="str">
        <f>"627.0"</f>
        <v>627.0</v>
      </c>
      <c r="E7" t="str">
        <f>"625.3"</f>
        <v>625.3</v>
      </c>
      <c r="F7" t="str">
        <f>"626.0"</f>
        <v>626.0</v>
      </c>
      <c r="G7" t="str">
        <f>"1,878.3"</f>
        <v>1,878.3</v>
      </c>
    </row>
    <row r="8" spans="1:7" x14ac:dyDescent="0.35">
      <c r="A8" s="2">
        <v>4</v>
      </c>
      <c r="B8" t="str">
        <f>"Rockett, Scott (204660)"</f>
        <v>Rockett, Scott (204660)</v>
      </c>
      <c r="C8" t="str">
        <f>"1033931"</f>
        <v>1033931</v>
      </c>
      <c r="D8" t="str">
        <f>"628.6"</f>
        <v>628.6</v>
      </c>
      <c r="E8" t="str">
        <f>"626.2"</f>
        <v>626.2</v>
      </c>
      <c r="F8" t="str">
        <f>"623.0"</f>
        <v>623.0</v>
      </c>
      <c r="G8" t="str">
        <f>"1,877.8"</f>
        <v>1,877.8</v>
      </c>
    </row>
    <row r="9" spans="1:7" x14ac:dyDescent="0.35">
      <c r="A9" s="2">
        <v>5</v>
      </c>
      <c r="B9" t="str">
        <f>"Sunderman, Patrick, SGT, USA (87989)"</f>
        <v>Sunderman, Patrick, SGT, USA (87989)</v>
      </c>
      <c r="C9" t="str">
        <f>"114407"</f>
        <v>114407</v>
      </c>
      <c r="D9" t="str">
        <f>"626.5"</f>
        <v>626.5</v>
      </c>
      <c r="E9" t="str">
        <f>"626.9"</f>
        <v>626.9</v>
      </c>
      <c r="F9" t="str">
        <f>"624.2"</f>
        <v>624.2</v>
      </c>
      <c r="G9" t="str">
        <f>"1,877.6"</f>
        <v>1,877.6</v>
      </c>
    </row>
    <row r="10" spans="1:7" x14ac:dyDescent="0.35">
      <c r="A10" s="2">
        <v>6</v>
      </c>
      <c r="B10" t="str">
        <f>"Muske, Brandon, SGT, USA (66790)"</f>
        <v>Muske, Brandon, SGT, USA (66790)</v>
      </c>
      <c r="C10" t="str">
        <f>"113763"</f>
        <v>113763</v>
      </c>
      <c r="D10" t="str">
        <f>"623.9"</f>
        <v>623.9</v>
      </c>
      <c r="E10" t="str">
        <f>"624.8"</f>
        <v>624.8</v>
      </c>
      <c r="F10" t="str">
        <f>"620.3"</f>
        <v>620.3</v>
      </c>
      <c r="G10" t="str">
        <f>"1,869.0"</f>
        <v>1,869.0</v>
      </c>
    </row>
    <row r="11" spans="1:7" x14ac:dyDescent="0.35">
      <c r="A11" s="2">
        <v>7</v>
      </c>
      <c r="B11" t="str">
        <f>"Clark, Levi, SP4, USA (239546)"</f>
        <v>Clark, Levi, SP4, USA (239546)</v>
      </c>
      <c r="C11" t="str">
        <f>"1033247"</f>
        <v>1033247</v>
      </c>
      <c r="D11" t="str">
        <f>"617.3"</f>
        <v>617.3</v>
      </c>
      <c r="E11" t="str">
        <f>"621.9"</f>
        <v>621.9</v>
      </c>
      <c r="F11" t="str">
        <f>"621.2"</f>
        <v>621.2</v>
      </c>
      <c r="G11" t="str">
        <f>"1,860.4"</f>
        <v>1,860.4</v>
      </c>
    </row>
    <row r="12" spans="1:7" x14ac:dyDescent="0.35">
      <c r="A12" s="2">
        <v>8</v>
      </c>
      <c r="B12" t="str">
        <f>"Duryea, Andrew (235240)"</f>
        <v>Duryea, Andrew (235240)</v>
      </c>
      <c r="C12" t="str">
        <f>"103123"</f>
        <v>103123</v>
      </c>
      <c r="D12" t="str">
        <f>"621.5"</f>
        <v>621.5</v>
      </c>
      <c r="E12" t="str">
        <f>"620.3"</f>
        <v>620.3</v>
      </c>
      <c r="F12" t="str">
        <f>"618.0"</f>
        <v>618.0</v>
      </c>
      <c r="G12" t="str">
        <f>"1,859.8"</f>
        <v>1,859.8</v>
      </c>
    </row>
    <row r="13" spans="1:7" x14ac:dyDescent="0.35">
      <c r="A13" s="2">
        <v>9</v>
      </c>
      <c r="B13" t="str">
        <f>"Williams, Jordan (278596)"</f>
        <v>Williams, Jordan (278596)</v>
      </c>
      <c r="C13" t="str">
        <f>"1034974"</f>
        <v>1034974</v>
      </c>
      <c r="D13" t="str">
        <f>"617.9"</f>
        <v>617.9</v>
      </c>
      <c r="E13" t="str">
        <f>"618.6"</f>
        <v>618.6</v>
      </c>
      <c r="F13" t="str">
        <f>"619.9"</f>
        <v>619.9</v>
      </c>
      <c r="G13" t="str">
        <f>"1,856.4"</f>
        <v>1,856.4</v>
      </c>
    </row>
    <row r="14" spans="1:7" x14ac:dyDescent="0.35">
      <c r="A14" s="2">
        <v>10</v>
      </c>
      <c r="B14" t="str">
        <f>"Mendoza, Luis (369300)"</f>
        <v>Mendoza, Luis (369300)</v>
      </c>
      <c r="C14" t="str">
        <f>"1044609"</f>
        <v>1044609</v>
      </c>
      <c r="D14" t="str">
        <f>"618.9"</f>
        <v>618.9</v>
      </c>
      <c r="E14" t="str">
        <f>"621.6"</f>
        <v>621.6</v>
      </c>
      <c r="F14" t="str">
        <f>"614.9"</f>
        <v>614.9</v>
      </c>
      <c r="G14" t="str">
        <f>"1,855.4"</f>
        <v>1,855.4</v>
      </c>
    </row>
    <row r="15" spans="1:7" x14ac:dyDescent="0.35">
      <c r="A15" s="2">
        <v>11</v>
      </c>
      <c r="B15" t="str">
        <f>"Fiori, Peter (167423)"</f>
        <v>Fiori, Peter (167423)</v>
      </c>
      <c r="C15" t="str">
        <f>"1030835"</f>
        <v>1030835</v>
      </c>
      <c r="D15" t="str">
        <f>"606.5"</f>
        <v>606.5</v>
      </c>
      <c r="E15" t="str">
        <f>"618.3"</f>
        <v>618.3</v>
      </c>
      <c r="F15" t="str">
        <f>"624.1"</f>
        <v>624.1</v>
      </c>
      <c r="G15" t="str">
        <f>"1,848.9"</f>
        <v>1,848.9</v>
      </c>
    </row>
    <row r="16" spans="1:7" x14ac:dyDescent="0.35">
      <c r="A16" s="2">
        <v>12</v>
      </c>
      <c r="B16" t="str">
        <f>"Desrosiers, Jared, SGT, USA (177099)"</f>
        <v>Desrosiers, Jared, SGT, USA (177099)</v>
      </c>
      <c r="C16" t="str">
        <f>"1034296"</f>
        <v>1034296</v>
      </c>
      <c r="D16" t="str">
        <f>"618.7"</f>
        <v>618.7</v>
      </c>
      <c r="E16" t="str">
        <f>"616.3"</f>
        <v>616.3</v>
      </c>
      <c r="F16" t="str">
        <f>"611.6"</f>
        <v>611.6</v>
      </c>
      <c r="G16" t="str">
        <f>"1,846.6"</f>
        <v>1,846.6</v>
      </c>
    </row>
    <row r="17" spans="1:7" x14ac:dyDescent="0.35">
      <c r="A17" s="2">
        <v>13</v>
      </c>
      <c r="B17" t="str">
        <f>"Salas, Ben (400430)"</f>
        <v>Salas, Ben (400430)</v>
      </c>
      <c r="C17" t="str">
        <f>"116890"</f>
        <v>116890</v>
      </c>
      <c r="D17" t="str">
        <f>"621.8"</f>
        <v>621.8</v>
      </c>
      <c r="E17" t="str">
        <f>"608.3"</f>
        <v>608.3</v>
      </c>
      <c r="F17" t="str">
        <f>"615.6"</f>
        <v>615.6</v>
      </c>
      <c r="G17" t="str">
        <f>"1,845.7"</f>
        <v>1,845.7</v>
      </c>
    </row>
    <row r="18" spans="1:7" x14ac:dyDescent="0.35">
      <c r="A18" s="2">
        <v>14</v>
      </c>
      <c r="B18" t="str">
        <f>"Wee, Tyler  (339686)"</f>
        <v>Wee, Tyler  (339686)</v>
      </c>
      <c r="C18" t="str">
        <f>"1040932"</f>
        <v>1040932</v>
      </c>
      <c r="D18" t="str">
        <f>"610.7"</f>
        <v>610.7</v>
      </c>
      <c r="E18" t="str">
        <f>"612.0"</f>
        <v>612.0</v>
      </c>
      <c r="F18" t="str">
        <f>"618.0"</f>
        <v>618.0</v>
      </c>
      <c r="G18" t="str">
        <f>"1,840.7"</f>
        <v>1,840.7</v>
      </c>
    </row>
    <row r="19" spans="1:7" x14ac:dyDescent="0.35">
      <c r="A19" s="2">
        <v>15</v>
      </c>
      <c r="B19" t="str">
        <f>"Haydin, Parker (318554)"</f>
        <v>Haydin, Parker (318554)</v>
      </c>
      <c r="C19" t="str">
        <f>"1042822"</f>
        <v>1042822</v>
      </c>
      <c r="D19" t="str">
        <f>"615.4"</f>
        <v>615.4</v>
      </c>
      <c r="E19" t="str">
        <f>"612.9"</f>
        <v>612.9</v>
      </c>
      <c r="F19" t="str">
        <f>"609.1"</f>
        <v>609.1</v>
      </c>
      <c r="G19" t="str">
        <f>"1,837.4"</f>
        <v>1,837.4</v>
      </c>
    </row>
    <row r="20" spans="1:7" x14ac:dyDescent="0.35">
      <c r="A20" s="2">
        <v>16</v>
      </c>
      <c r="B20" t="str">
        <f>"Burrow, Samuel (191775)"</f>
        <v>Burrow, Samuel (191775)</v>
      </c>
      <c r="C20" t="str">
        <f>"1035100"</f>
        <v>1035100</v>
      </c>
      <c r="D20" t="str">
        <f>"614.1"</f>
        <v>614.1</v>
      </c>
      <c r="E20" t="str">
        <f>"610.0"</f>
        <v>610.0</v>
      </c>
      <c r="F20" t="str">
        <f>"607.5"</f>
        <v>607.5</v>
      </c>
      <c r="G20" t="str">
        <f>"1,831.6"</f>
        <v>1,831.6</v>
      </c>
    </row>
    <row r="21" spans="1:7" x14ac:dyDescent="0.35">
      <c r="A21" s="2">
        <v>17</v>
      </c>
      <c r="B21" t="str">
        <f>"Stockton, Travis (181711)"</f>
        <v>Stockton, Travis (181711)</v>
      </c>
      <c r="C21" t="str">
        <f>"1034424"</f>
        <v>1034424</v>
      </c>
      <c r="D21" t="str">
        <f>"607.6"</f>
        <v>607.6</v>
      </c>
      <c r="E21" t="str">
        <f>"609.9"</f>
        <v>609.9</v>
      </c>
      <c r="F21" t="str">
        <f>"613.7"</f>
        <v>613.7</v>
      </c>
      <c r="G21" t="str">
        <f>"1,831.2"</f>
        <v>1,831.2</v>
      </c>
    </row>
    <row r="22" spans="1:7" x14ac:dyDescent="0.35">
      <c r="A22" s="2">
        <v>18</v>
      </c>
      <c r="B22" t="str">
        <f>"Enriquez Flores, Gustavo (400411)"</f>
        <v>Enriquez Flores, Gustavo (400411)</v>
      </c>
      <c r="C22" t="str">
        <f>"1044612"</f>
        <v>1044612</v>
      </c>
      <c r="D22" t="str">
        <f>"608.3"</f>
        <v>608.3</v>
      </c>
      <c r="E22" t="str">
        <f>"610.4"</f>
        <v>610.4</v>
      </c>
      <c r="F22" t="str">
        <f>"612.3"</f>
        <v>612.3</v>
      </c>
      <c r="G22" t="str">
        <f>"1,831.0"</f>
        <v>1,831.0</v>
      </c>
    </row>
    <row r="23" spans="1:7" x14ac:dyDescent="0.35">
      <c r="A23" s="2">
        <v>19</v>
      </c>
      <c r="B23" t="str">
        <f>"Peiser, Braden (280766)"</f>
        <v>Peiser, Braden (280766)</v>
      </c>
      <c r="C23" t="str">
        <f>"104265"</f>
        <v>104265</v>
      </c>
      <c r="D23" t="str">
        <f>"611.6"</f>
        <v>611.6</v>
      </c>
      <c r="E23" t="str">
        <f>"609.1"</f>
        <v>609.1</v>
      </c>
      <c r="F23" t="str">
        <f>"608.2"</f>
        <v>608.2</v>
      </c>
      <c r="G23" t="str">
        <f>"1,828.9"</f>
        <v>1,828.9</v>
      </c>
    </row>
    <row r="24" spans="1:7" x14ac:dyDescent="0.35">
      <c r="A24" s="2">
        <v>20</v>
      </c>
      <c r="B24" t="str">
        <f>"Karadsheh, Roman (235096)"</f>
        <v>Karadsheh, Roman (235096)</v>
      </c>
      <c r="C24" t="str">
        <f>"101468"</f>
        <v>101468</v>
      </c>
      <c r="D24" t="str">
        <f>"612.9"</f>
        <v>612.9</v>
      </c>
      <c r="E24" t="str">
        <f>"608.9"</f>
        <v>608.9</v>
      </c>
      <c r="F24" t="str">
        <f>"601.4"</f>
        <v>601.4</v>
      </c>
      <c r="G24" t="str">
        <f>"1,823.2"</f>
        <v>1,823.2</v>
      </c>
    </row>
    <row r="25" spans="1:7" x14ac:dyDescent="0.35">
      <c r="A25" s="2">
        <v>21</v>
      </c>
      <c r="B25" t="str">
        <f>"Lopez, Eyvin (400420)"</f>
        <v>Lopez, Eyvin (400420)</v>
      </c>
      <c r="C25" t="str">
        <f>"1044610"</f>
        <v>1044610</v>
      </c>
      <c r="D25" t="str">
        <f>"601.1"</f>
        <v>601.1</v>
      </c>
      <c r="E25" t="str">
        <f>"610.7"</f>
        <v>610.7</v>
      </c>
      <c r="F25" t="str">
        <f>"611.1"</f>
        <v>611.1</v>
      </c>
      <c r="G25" t="str">
        <f>"1,822.9"</f>
        <v>1,822.9</v>
      </c>
    </row>
    <row r="26" spans="1:7" x14ac:dyDescent="0.35">
      <c r="A26" s="2">
        <v>22</v>
      </c>
      <c r="B26" t="str">
        <f>"Hart, James, IV (299670)"</f>
        <v>Hart, James, IV (299670)</v>
      </c>
      <c r="C26" t="str">
        <f>"1040871"</f>
        <v>1040871</v>
      </c>
      <c r="D26" t="str">
        <f>"603.9"</f>
        <v>603.9</v>
      </c>
      <c r="E26" t="str">
        <f>"609.1"</f>
        <v>609.1</v>
      </c>
      <c r="F26" t="str">
        <f>"608.5"</f>
        <v>608.5</v>
      </c>
      <c r="G26" t="str">
        <f>"1,821.5"</f>
        <v>1,821.5</v>
      </c>
    </row>
    <row r="27" spans="1:7" x14ac:dyDescent="0.35">
      <c r="A27" s="2">
        <v>23</v>
      </c>
      <c r="B27" t="str">
        <f>"Fowkes, Brady (258396)"</f>
        <v>Fowkes, Brady (258396)</v>
      </c>
      <c r="C27" t="str">
        <f>"104548"</f>
        <v>104548</v>
      </c>
      <c r="D27" t="str">
        <f>"607.1"</f>
        <v>607.1</v>
      </c>
      <c r="E27" t="str">
        <f>"604.4"</f>
        <v>604.4</v>
      </c>
      <c r="F27" t="str">
        <f>"608.8"</f>
        <v>608.8</v>
      </c>
      <c r="G27" t="str">
        <f>"1,820.3"</f>
        <v>1,820.3</v>
      </c>
    </row>
    <row r="28" spans="1:7" x14ac:dyDescent="0.35">
      <c r="A28" s="2">
        <v>24</v>
      </c>
      <c r="B28" t="str">
        <f>"Day, Jacob (341476)"</f>
        <v>Day, Jacob (341476)</v>
      </c>
      <c r="C28" t="str">
        <f>"1042165"</f>
        <v>1042165</v>
      </c>
      <c r="D28" t="str">
        <f>"603.4"</f>
        <v>603.4</v>
      </c>
      <c r="E28" t="str">
        <f>"610.7"</f>
        <v>610.7</v>
      </c>
      <c r="F28" t="str">
        <f>"605.7"</f>
        <v>605.7</v>
      </c>
      <c r="G28" t="str">
        <f>"1,819.8"</f>
        <v>1,819.8</v>
      </c>
    </row>
    <row r="29" spans="1:7" x14ac:dyDescent="0.35">
      <c r="A29" s="2">
        <v>25</v>
      </c>
      <c r="B29" t="str">
        <f>"Wee, Ryan (339685)"</f>
        <v>Wee, Ryan (339685)</v>
      </c>
      <c r="C29" t="str">
        <f>"1040933"</f>
        <v>1040933</v>
      </c>
      <c r="D29" t="str">
        <f>"602.4"</f>
        <v>602.4</v>
      </c>
      <c r="E29" t="str">
        <f>"605.4"</f>
        <v>605.4</v>
      </c>
      <c r="F29" t="str">
        <f>"604.0"</f>
        <v>604.0</v>
      </c>
      <c r="G29" t="str">
        <f>"1,811.8"</f>
        <v>1,811.8</v>
      </c>
    </row>
    <row r="30" spans="1:7" x14ac:dyDescent="0.35">
      <c r="A30" s="2">
        <v>26</v>
      </c>
      <c r="B30" t="str">
        <f>"Butler, Elijah (320808)"</f>
        <v>Butler, Elijah (320808)</v>
      </c>
      <c r="C30" t="str">
        <f>"1039171"</f>
        <v>1039171</v>
      </c>
      <c r="D30" t="str">
        <f>"605.5"</f>
        <v>605.5</v>
      </c>
      <c r="E30" t="str">
        <f>"602.9"</f>
        <v>602.9</v>
      </c>
      <c r="F30" t="str">
        <f>"592.9"</f>
        <v>592.9</v>
      </c>
      <c r="G30" t="str">
        <f>"1,801.3"</f>
        <v>1,801.3</v>
      </c>
    </row>
    <row r="31" spans="1:7" x14ac:dyDescent="0.35">
      <c r="A31" s="2">
        <v>27</v>
      </c>
      <c r="B31" t="str">
        <f>"Ellis, Grayson (281765)"</f>
        <v>Ellis, Grayson (281765)</v>
      </c>
      <c r="C31" t="str">
        <f>"1040758"</f>
        <v>1040758</v>
      </c>
      <c r="D31" t="str">
        <f>"597.4"</f>
        <v>597.4</v>
      </c>
      <c r="E31" t="str">
        <f>"596.9"</f>
        <v>596.9</v>
      </c>
      <c r="F31" t="str">
        <f>"606.4"</f>
        <v>606.4</v>
      </c>
      <c r="G31" t="str">
        <f>"1,800.7"</f>
        <v>1,800.7</v>
      </c>
    </row>
    <row r="32" spans="1:7" x14ac:dyDescent="0.35">
      <c r="A32" s="2">
        <v>28</v>
      </c>
      <c r="B32" t="str">
        <f>"Duncan, Maximus (366955)"</f>
        <v>Duncan, Maximus (366955)</v>
      </c>
      <c r="C32" t="str">
        <f>"1040745"</f>
        <v>1040745</v>
      </c>
      <c r="D32" t="str">
        <f>"596.1"</f>
        <v>596.1</v>
      </c>
      <c r="E32" t="str">
        <f>"607.6"</f>
        <v>607.6</v>
      </c>
      <c r="F32" t="str">
        <f>"596.4"</f>
        <v>596.4</v>
      </c>
      <c r="G32" t="str">
        <f>"1,800.1"</f>
        <v>1,800.1</v>
      </c>
    </row>
    <row r="33" spans="1:7" x14ac:dyDescent="0.35">
      <c r="A33" s="2">
        <v>29</v>
      </c>
      <c r="B33" t="str">
        <f>"Trammell, Chase  (282389)"</f>
        <v>Trammell, Chase  (282389)</v>
      </c>
      <c r="C33" t="str">
        <f>"1039211"</f>
        <v>1039211</v>
      </c>
      <c r="D33" t="str">
        <f>"597.7"</f>
        <v>597.7</v>
      </c>
      <c r="E33" t="str">
        <f>"600.9"</f>
        <v>600.9</v>
      </c>
      <c r="F33" t="str">
        <f>"601.3"</f>
        <v>601.3</v>
      </c>
      <c r="G33" t="str">
        <f>"1,799.9"</f>
        <v>1,799.9</v>
      </c>
    </row>
    <row r="34" spans="1:7" x14ac:dyDescent="0.35">
      <c r="A34" s="2">
        <v>30</v>
      </c>
      <c r="B34" t="str">
        <f>"Myren, Carson (322950)"</f>
        <v>Myren, Carson (322950)</v>
      </c>
      <c r="C34" t="str">
        <f>"1042448"</f>
        <v>1042448</v>
      </c>
      <c r="D34" t="str">
        <f>"596.7"</f>
        <v>596.7</v>
      </c>
      <c r="E34" t="str">
        <f>"603.8"</f>
        <v>603.8</v>
      </c>
      <c r="F34" t="str">
        <f>"596.6"</f>
        <v>596.6</v>
      </c>
      <c r="G34" t="str">
        <f>"1,797.1"</f>
        <v>1,797.1</v>
      </c>
    </row>
    <row r="35" spans="1:7" x14ac:dyDescent="0.35">
      <c r="A35" s="2">
        <v>31</v>
      </c>
      <c r="B35" t="str">
        <f>"Gray, Cooper (400415)"</f>
        <v>Gray, Cooper (400415)</v>
      </c>
      <c r="C35" t="str">
        <f>"1040570"</f>
        <v>1040570</v>
      </c>
      <c r="D35" t="str">
        <f>"603.3"</f>
        <v>603.3</v>
      </c>
      <c r="E35" t="str">
        <f>"595.1"</f>
        <v>595.1</v>
      </c>
      <c r="F35" t="str">
        <f>"595.8"</f>
        <v>595.8</v>
      </c>
      <c r="G35" t="str">
        <f>"1,794.2"</f>
        <v>1,794.2</v>
      </c>
    </row>
    <row r="36" spans="1:7" x14ac:dyDescent="0.35">
      <c r="A36" s="2">
        <v>32</v>
      </c>
      <c r="B36" t="str">
        <f>"Boggan, Garrett (213815)"</f>
        <v>Boggan, Garrett (213815)</v>
      </c>
      <c r="C36" t="str">
        <f>"100780"</f>
        <v>100780</v>
      </c>
      <c r="D36" t="str">
        <f>"603.4"</f>
        <v>603.4</v>
      </c>
      <c r="E36" t="str">
        <f>"596.9"</f>
        <v>596.9</v>
      </c>
      <c r="F36" t="str">
        <f>"591.2"</f>
        <v>591.2</v>
      </c>
      <c r="G36" t="str">
        <f>"1,791.5"</f>
        <v>1,791.5</v>
      </c>
    </row>
    <row r="37" spans="1:7" x14ac:dyDescent="0.35">
      <c r="A37" s="2">
        <v>33</v>
      </c>
      <c r="B37" t="str">
        <f>"Orr, Kyle (372898)"</f>
        <v>Orr, Kyle (372898)</v>
      </c>
      <c r="C37" t="str">
        <f>"1044606"</f>
        <v>1044606</v>
      </c>
      <c r="D37" t="str">
        <f>"592.6"</f>
        <v>592.6</v>
      </c>
      <c r="E37" t="str">
        <f>"600.7"</f>
        <v>600.7</v>
      </c>
      <c r="F37" t="str">
        <f>"593.9"</f>
        <v>593.9</v>
      </c>
      <c r="G37" t="str">
        <f>"1,787.2"</f>
        <v>1,787.2</v>
      </c>
    </row>
    <row r="38" spans="1:7" x14ac:dyDescent="0.35">
      <c r="A38" s="2">
        <v>34</v>
      </c>
      <c r="B38" t="str">
        <f>"Wood, Carson (310685)"</f>
        <v>Wood, Carson (310685)</v>
      </c>
      <c r="C38" t="str">
        <f>"1041377"</f>
        <v>1041377</v>
      </c>
      <c r="D38" t="str">
        <f>"601.5"</f>
        <v>601.5</v>
      </c>
      <c r="E38" t="str">
        <f>"594.3"</f>
        <v>594.3</v>
      </c>
      <c r="F38" t="str">
        <f>"590.6"</f>
        <v>590.6</v>
      </c>
      <c r="G38" t="str">
        <f>"1,786.4"</f>
        <v>1,786.4</v>
      </c>
    </row>
    <row r="39" spans="1:7" x14ac:dyDescent="0.35">
      <c r="A39" s="2">
        <v>35</v>
      </c>
      <c r="B39" t="str">
        <f>"Steen, William (369170)"</f>
        <v>Steen, William (369170)</v>
      </c>
      <c r="C39" t="str">
        <f>"1040401"</f>
        <v>1040401</v>
      </c>
      <c r="D39" t="str">
        <f>"593.9"</f>
        <v>593.9</v>
      </c>
      <c r="E39" t="str">
        <f>"596.6"</f>
        <v>596.6</v>
      </c>
      <c r="F39" t="str">
        <f>"593.8"</f>
        <v>593.8</v>
      </c>
      <c r="G39" t="str">
        <f>"1,784.3"</f>
        <v>1,784.3</v>
      </c>
    </row>
    <row r="40" spans="1:7" x14ac:dyDescent="0.35">
      <c r="A40" s="2">
        <v>36</v>
      </c>
      <c r="B40" t="str">
        <f>"Veatch, Leo (340253)"</f>
        <v>Veatch, Leo (340253)</v>
      </c>
      <c r="C40" t="str">
        <f>"1039464"</f>
        <v>1039464</v>
      </c>
      <c r="D40" t="str">
        <f>"599.7"</f>
        <v>599.7</v>
      </c>
      <c r="E40" t="str">
        <f>"588.6"</f>
        <v>588.6</v>
      </c>
      <c r="F40" t="str">
        <f>"588.6"</f>
        <v>588.6</v>
      </c>
      <c r="G40" t="str">
        <f>"1,776.9"</f>
        <v>1,776.9</v>
      </c>
    </row>
    <row r="41" spans="1:7" x14ac:dyDescent="0.35">
      <c r="A41" s="2">
        <v>37</v>
      </c>
      <c r="B41" t="str">
        <f>"Ford, Chase (253437)"</f>
        <v>Ford, Chase (253437)</v>
      </c>
      <c r="C41" t="str">
        <f>"1038066"</f>
        <v>1038066</v>
      </c>
      <c r="D41" t="str">
        <f>"596.6"</f>
        <v>596.6</v>
      </c>
      <c r="E41" t="str">
        <f>"594.2"</f>
        <v>594.2</v>
      </c>
      <c r="F41" t="str">
        <f>"585.1"</f>
        <v>585.1</v>
      </c>
      <c r="G41" t="str">
        <f>"1,775.9"</f>
        <v>1,775.9</v>
      </c>
    </row>
    <row r="42" spans="1:7" x14ac:dyDescent="0.35">
      <c r="A42" s="2">
        <v>38</v>
      </c>
      <c r="B42" t="str">
        <f>"Sparrow, Samuel (227999)"</f>
        <v>Sparrow, Samuel (227999)</v>
      </c>
      <c r="C42" t="str">
        <f>"1042025"</f>
        <v>1042025</v>
      </c>
      <c r="D42" t="str">
        <f>"594.9"</f>
        <v>594.9</v>
      </c>
      <c r="E42" t="str">
        <f>"599.5"</f>
        <v>599.5</v>
      </c>
      <c r="F42" t="str">
        <f>"580.5"</f>
        <v>580.5</v>
      </c>
      <c r="G42" t="str">
        <f>"1,774.9"</f>
        <v>1,774.9</v>
      </c>
    </row>
    <row r="43" spans="1:7" x14ac:dyDescent="0.35">
      <c r="A43" s="2">
        <v>39</v>
      </c>
      <c r="B43" t="str">
        <f>"Oberle, Jacob (377832)"</f>
        <v>Oberle, Jacob (377832)</v>
      </c>
      <c r="C43" t="str">
        <f>"1032214"</f>
        <v>1032214</v>
      </c>
      <c r="D43" t="str">
        <f>"590.4"</f>
        <v>590.4</v>
      </c>
      <c r="E43" t="str">
        <f>"596.4"</f>
        <v>596.4</v>
      </c>
      <c r="F43" t="str">
        <f>"587.1"</f>
        <v>587.1</v>
      </c>
      <c r="G43" t="str">
        <f>"1,773.9"</f>
        <v>1,773.9</v>
      </c>
    </row>
    <row r="44" spans="1:7" x14ac:dyDescent="0.35">
      <c r="A44" s="2">
        <v>40</v>
      </c>
      <c r="B44" t="str">
        <f>"Bain, Pruitt (367278)"</f>
        <v>Bain, Pruitt (367278)</v>
      </c>
      <c r="C44" t="str">
        <f>"1043346"</f>
        <v>1043346</v>
      </c>
      <c r="D44" t="str">
        <f>"590.1"</f>
        <v>590.1</v>
      </c>
      <c r="E44" t="str">
        <f>"592.1"</f>
        <v>592.1</v>
      </c>
      <c r="F44" t="str">
        <f>"587.7"</f>
        <v>587.7</v>
      </c>
      <c r="G44" t="str">
        <f>"1,769.9"</f>
        <v>1,769.9</v>
      </c>
    </row>
    <row r="45" spans="1:7" x14ac:dyDescent="0.35">
      <c r="A45" s="2">
        <v>41</v>
      </c>
      <c r="B45" t="str">
        <f>"Yoon, Matteo (323312)"</f>
        <v>Yoon, Matteo (323312)</v>
      </c>
      <c r="C45" t="str">
        <f>"1042264"</f>
        <v>1042264</v>
      </c>
      <c r="D45" t="str">
        <f>"588.1"</f>
        <v>588.1</v>
      </c>
      <c r="E45" t="str">
        <f>"587.4"</f>
        <v>587.4</v>
      </c>
      <c r="F45" t="str">
        <f>"594.2"</f>
        <v>594.2</v>
      </c>
      <c r="G45" t="str">
        <f>"1,769.7"</f>
        <v>1,769.7</v>
      </c>
    </row>
    <row r="46" spans="1:7" x14ac:dyDescent="0.35">
      <c r="A46" s="2">
        <v>42</v>
      </c>
      <c r="B46" t="str">
        <f>"Zaun, Dylan (340640)"</f>
        <v>Zaun, Dylan (340640)</v>
      </c>
      <c r="C46" t="str">
        <f>"1040543"</f>
        <v>1040543</v>
      </c>
      <c r="D46" t="str">
        <f>"582.1"</f>
        <v>582.1</v>
      </c>
      <c r="E46" t="str">
        <f>"587.0"</f>
        <v>587.0</v>
      </c>
      <c r="F46" t="str">
        <f>"588.5"</f>
        <v>588.5</v>
      </c>
      <c r="G46" t="str">
        <f>"1,757.6"</f>
        <v>1,757.6</v>
      </c>
    </row>
    <row r="47" spans="1:7" x14ac:dyDescent="0.35">
      <c r="A47" s="2">
        <v>43</v>
      </c>
      <c r="B47" t="str">
        <f>"Delano, Kenneth (335962)"</f>
        <v>Delano, Kenneth (335962)</v>
      </c>
      <c r="C47" t="str">
        <f>"1041022"</f>
        <v>1041022</v>
      </c>
      <c r="D47" t="str">
        <f>"585.8"</f>
        <v>585.8</v>
      </c>
      <c r="E47" t="str">
        <f>"590.2"</f>
        <v>590.2</v>
      </c>
      <c r="F47" t="str">
        <f>"581.5"</f>
        <v>581.5</v>
      </c>
      <c r="G47" t="str">
        <f>"1,757.5"</f>
        <v>1,757.5</v>
      </c>
    </row>
    <row r="48" spans="1:7" x14ac:dyDescent="0.35">
      <c r="A48" s="2">
        <v>44</v>
      </c>
      <c r="B48" t="str">
        <f>"Billings, Brock (366768)"</f>
        <v>Billings, Brock (366768)</v>
      </c>
      <c r="C48" t="str">
        <f>"1039473"</f>
        <v>1039473</v>
      </c>
      <c r="D48" t="str">
        <f>"578.1"</f>
        <v>578.1</v>
      </c>
      <c r="E48" t="str">
        <f>"590.6"</f>
        <v>590.6</v>
      </c>
      <c r="F48" t="str">
        <f>"587.2"</f>
        <v>587.2</v>
      </c>
      <c r="G48" t="str">
        <f>"1,755.9"</f>
        <v>1,755.9</v>
      </c>
    </row>
    <row r="49" spans="1:7" x14ac:dyDescent="0.35">
      <c r="A49" s="2">
        <v>45</v>
      </c>
      <c r="B49" t="str">
        <f>"Hooper, Mason (228221)"</f>
        <v>Hooper, Mason (228221)</v>
      </c>
      <c r="C49" t="str">
        <f>"1041288"</f>
        <v>1041288</v>
      </c>
      <c r="D49" t="str">
        <f>"577.0"</f>
        <v>577.0</v>
      </c>
      <c r="E49" t="str">
        <f>"589.7"</f>
        <v>589.7</v>
      </c>
      <c r="F49" t="str">
        <f>"586.8"</f>
        <v>586.8</v>
      </c>
      <c r="G49" t="str">
        <f>"1,753.5"</f>
        <v>1,753.5</v>
      </c>
    </row>
    <row r="50" spans="1:7" x14ac:dyDescent="0.35">
      <c r="A50" s="2">
        <v>46</v>
      </c>
      <c r="B50" t="str">
        <f>"Meyers, Teegan (375915)"</f>
        <v>Meyers, Teegan (375915)</v>
      </c>
      <c r="C50" t="str">
        <f>"1034358"</f>
        <v>1034358</v>
      </c>
      <c r="D50" t="str">
        <f>"585.3"</f>
        <v>585.3</v>
      </c>
      <c r="E50" t="str">
        <f>"583.5"</f>
        <v>583.5</v>
      </c>
      <c r="F50" t="str">
        <f>"583.6"</f>
        <v>583.6</v>
      </c>
      <c r="G50" t="str">
        <f>"1,752.4"</f>
        <v>1,752.4</v>
      </c>
    </row>
    <row r="51" spans="1:7" x14ac:dyDescent="0.35">
      <c r="A51" s="2">
        <v>47</v>
      </c>
      <c r="B51" t="str">
        <f>"Delzer, Daniel (322536)"</f>
        <v>Delzer, Daniel (322536)</v>
      </c>
      <c r="C51" t="str">
        <f>"1042377"</f>
        <v>1042377</v>
      </c>
      <c r="D51" t="str">
        <f>"574.1"</f>
        <v>574.1</v>
      </c>
      <c r="E51" t="str">
        <f>"587.1"</f>
        <v>587.1</v>
      </c>
      <c r="F51" t="str">
        <f>"586.5"</f>
        <v>586.5</v>
      </c>
      <c r="G51" t="str">
        <f>"1,747.7"</f>
        <v>1,747.7</v>
      </c>
    </row>
    <row r="52" spans="1:7" x14ac:dyDescent="0.35">
      <c r="A52" s="2">
        <v>48</v>
      </c>
      <c r="B52" t="str">
        <f>"Bianca, Gabriel (262372)"</f>
        <v>Bianca, Gabriel (262372)</v>
      </c>
      <c r="C52" t="str">
        <f>"1039344"</f>
        <v>1039344</v>
      </c>
      <c r="D52" t="str">
        <f>"584.5"</f>
        <v>584.5</v>
      </c>
      <c r="E52" t="str">
        <f>"575.9"</f>
        <v>575.9</v>
      </c>
      <c r="F52" t="str">
        <f>"582.1"</f>
        <v>582.1</v>
      </c>
      <c r="G52" t="str">
        <f>"1,742.5"</f>
        <v>1,742.5</v>
      </c>
    </row>
    <row r="53" spans="1:7" x14ac:dyDescent="0.35">
      <c r="A53" s="2">
        <v>49</v>
      </c>
      <c r="B53" t="str">
        <f>"Kersten, Dane (350199)"</f>
        <v>Kersten, Dane (350199)</v>
      </c>
      <c r="C53" t="str">
        <f>"1044617"</f>
        <v>1044617</v>
      </c>
      <c r="D53" t="str">
        <f>"575.7"</f>
        <v>575.7</v>
      </c>
      <c r="E53" t="str">
        <f>"583.6"</f>
        <v>583.6</v>
      </c>
      <c r="F53" t="str">
        <f>"579.5"</f>
        <v>579.5</v>
      </c>
      <c r="G53" t="str">
        <f>"1,738.8"</f>
        <v>1,738.8</v>
      </c>
    </row>
    <row r="54" spans="1:7" x14ac:dyDescent="0.35">
      <c r="A54" s="2">
        <v>50</v>
      </c>
      <c r="B54" t="str">
        <f>"Sanchez, Logan (336566)"</f>
        <v>Sanchez, Logan (336566)</v>
      </c>
      <c r="C54" t="str">
        <f>"1042778"</f>
        <v>1042778</v>
      </c>
      <c r="D54" t="str">
        <f>"561.3"</f>
        <v>561.3</v>
      </c>
      <c r="E54" t="str">
        <f>"588.2"</f>
        <v>588.2</v>
      </c>
      <c r="F54" t="str">
        <f>"589.2"</f>
        <v>589.2</v>
      </c>
      <c r="G54" t="str">
        <f>"1,738.7"</f>
        <v>1,738.7</v>
      </c>
    </row>
    <row r="55" spans="1:7" x14ac:dyDescent="0.35">
      <c r="A55" s="2">
        <v>51</v>
      </c>
      <c r="B55" t="str">
        <f>"Kruckenberg, Wrangle (264833)"</f>
        <v>Kruckenberg, Wrangle (264833)</v>
      </c>
      <c r="C55" t="str">
        <f>"104552"</f>
        <v>104552</v>
      </c>
      <c r="D55" t="str">
        <f>"571.2"</f>
        <v>571.2</v>
      </c>
      <c r="E55" t="str">
        <f>"583.1"</f>
        <v>583.1</v>
      </c>
      <c r="F55" t="str">
        <f>"583.4"</f>
        <v>583.4</v>
      </c>
      <c r="G55" t="str">
        <f>"1,737.7"</f>
        <v>1,737.7</v>
      </c>
    </row>
    <row r="56" spans="1:7" x14ac:dyDescent="0.35">
      <c r="A56" s="2">
        <v>52</v>
      </c>
      <c r="B56" t="str">
        <f>"Fiori, Peter (129612)"</f>
        <v>Fiori, Peter (129612)</v>
      </c>
      <c r="C56" t="str">
        <f>"2328"</f>
        <v>2328</v>
      </c>
      <c r="D56" t="str">
        <f>"570.9"</f>
        <v>570.9</v>
      </c>
      <c r="E56" t="str">
        <f>"569.6"</f>
        <v>569.6</v>
      </c>
      <c r="F56" t="str">
        <f>"571.8"</f>
        <v>571.8</v>
      </c>
      <c r="G56" t="str">
        <f>"1,712.3"</f>
        <v>1,712.3</v>
      </c>
    </row>
    <row r="57" spans="1:7" x14ac:dyDescent="0.35">
      <c r="A57" s="2">
        <v>53</v>
      </c>
      <c r="B57" t="str">
        <f>"Heitman, Jacob (361801)"</f>
        <v>Heitman, Jacob (361801)</v>
      </c>
      <c r="C57" t="str">
        <f>"1043324"</f>
        <v>1043324</v>
      </c>
      <c r="D57" t="str">
        <f>"578.5"</f>
        <v>578.5</v>
      </c>
      <c r="E57" t="str">
        <f>"561.9"</f>
        <v>561.9</v>
      </c>
      <c r="F57" t="str">
        <f>"562.4"</f>
        <v>562.4</v>
      </c>
      <c r="G57" t="str">
        <f>"1,702.8"</f>
        <v>1,702.8</v>
      </c>
    </row>
    <row r="58" spans="1:7" x14ac:dyDescent="0.35">
      <c r="A58" s="2">
        <v>54</v>
      </c>
      <c r="B58" t="str">
        <f>"Peay, Clayton (291801)"</f>
        <v>Peay, Clayton (291801)</v>
      </c>
      <c r="C58" t="str">
        <f>"102598"</f>
        <v>102598</v>
      </c>
      <c r="D58" t="str">
        <f>"572.3"</f>
        <v>572.3</v>
      </c>
      <c r="E58" t="str">
        <f>"561.6"</f>
        <v>561.6</v>
      </c>
      <c r="F58" t="str">
        <f>"559.2"</f>
        <v>559.2</v>
      </c>
      <c r="G58" t="str">
        <f>"1,693.1"</f>
        <v>1,693.1</v>
      </c>
    </row>
    <row r="59" spans="1:7" x14ac:dyDescent="0.35">
      <c r="A59" s="2">
        <v>55</v>
      </c>
      <c r="B59" t="str">
        <f>"Albert, Enzzo (364874)"</f>
        <v>Albert, Enzzo (364874)</v>
      </c>
      <c r="C59" t="str">
        <f>"1039198"</f>
        <v>1039198</v>
      </c>
      <c r="D59" t="str">
        <f>"553.9"</f>
        <v>553.9</v>
      </c>
      <c r="E59" t="str">
        <f>"545.8"</f>
        <v>545.8</v>
      </c>
      <c r="F59" t="str">
        <f>"565.9"</f>
        <v>565.9</v>
      </c>
      <c r="G59" t="str">
        <f>"1,665.6"</f>
        <v>1,665.6</v>
      </c>
    </row>
    <row r="60" spans="1:7" x14ac:dyDescent="0.35">
      <c r="A60" s="2">
        <v>56</v>
      </c>
      <c r="B60" t="str">
        <f>"Peay, Caden (313121)"</f>
        <v>Peay, Caden (313121)</v>
      </c>
      <c r="C60" t="str">
        <f>"102599"</f>
        <v>102599</v>
      </c>
      <c r="D60" t="str">
        <f>"543.1"</f>
        <v>543.1</v>
      </c>
      <c r="E60" t="str">
        <f>"548.4"</f>
        <v>548.4</v>
      </c>
      <c r="F60" t="str">
        <f>"546.5"</f>
        <v>546.5</v>
      </c>
      <c r="G60" t="str">
        <f>"1,638.0"</f>
        <v>1,638.0</v>
      </c>
    </row>
    <row r="61" spans="1:7" x14ac:dyDescent="0.35">
      <c r="A61" s="2">
        <v>57</v>
      </c>
      <c r="B61" t="str">
        <f>"Ellis, Xavier  (382970)"</f>
        <v>Ellis, Xavier  (382970)</v>
      </c>
      <c r="C61" t="str">
        <f>"1044479"</f>
        <v>1044479</v>
      </c>
      <c r="D61" t="str">
        <f>"518.5"</f>
        <v>518.5</v>
      </c>
      <c r="E61" t="str">
        <f>"556.6"</f>
        <v>556.6</v>
      </c>
      <c r="F61" t="str">
        <f>"541.5"</f>
        <v>541.5</v>
      </c>
      <c r="G61" t="str">
        <f>"1,616.6"</f>
        <v>1,616.6</v>
      </c>
    </row>
    <row r="62" spans="1:7" x14ac:dyDescent="0.35">
      <c r="A62" s="2">
        <v>58</v>
      </c>
      <c r="B62" t="str">
        <f>"Newman, Bryce (373476)"</f>
        <v>Newman, Bryce (373476)</v>
      </c>
      <c r="C62" t="str">
        <f>"1043558"</f>
        <v>1043558</v>
      </c>
      <c r="D62" t="str">
        <f>"544.5"</f>
        <v>544.5</v>
      </c>
      <c r="E62" t="str">
        <f>""</f>
        <v/>
      </c>
      <c r="F62" t="str">
        <f>"553.1"</f>
        <v>553.1</v>
      </c>
      <c r="G62" t="str">
        <f>"1,097.6"</f>
        <v>1,097.6</v>
      </c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59999389629810485"/>
  </sheetPr>
  <dimension ref="A1:M11"/>
  <sheetViews>
    <sheetView workbookViewId="0">
      <selection sqref="A1:L1"/>
    </sheetView>
  </sheetViews>
  <sheetFormatPr defaultRowHeight="14.5" x14ac:dyDescent="0.35"/>
  <cols>
    <col min="1" max="1" width="5.7265625" style="2" bestFit="1" customWidth="1"/>
    <col min="2" max="2" width="34.7265625" bestFit="1" customWidth="1"/>
    <col min="3" max="9" width="7.7265625" bestFit="1" customWidth="1"/>
    <col min="10" max="10" width="7.1796875" bestFit="1" customWidth="1"/>
    <col min="11" max="11" width="11.453125" bestFit="1" customWidth="1"/>
    <col min="12" max="12" width="10" bestFit="1" customWidth="1"/>
  </cols>
  <sheetData>
    <row r="1" spans="1:13" s="3" customFormat="1" x14ac:dyDescent="0.35">
      <c r="A1" s="8" t="str">
        <f>"2021 USAS Winter Air Gun - Air Rifle"</f>
        <v>2021 USAS Winter Air Gun - Air Rifle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3" s="3" customFormat="1" x14ac:dyDescent="0.35">
      <c r="A2" s="8" t="str">
        <f>"Anniston Men's Air Rifle Final"</f>
        <v>Anniston Men's Air Rifle Final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3" s="3" customFormat="1" x14ac:dyDescent="0.35">
      <c r="A3" s="2" t="str">
        <f>"Place"</f>
        <v>Place</v>
      </c>
      <c r="B3" s="3" t="str">
        <f>"Competitor (Comp Num)"</f>
        <v>Competitor (Comp Num)</v>
      </c>
      <c r="C3" s="3" t="str">
        <f>"Final S1"</f>
        <v>Final S1</v>
      </c>
      <c r="D3" s="3" t="str">
        <f>"Final S2"</f>
        <v>Final S2</v>
      </c>
      <c r="E3" s="3" t="str">
        <f>"Final S3"</f>
        <v>Final S3</v>
      </c>
      <c r="F3" s="3" t="str">
        <f>"Final S4"</f>
        <v>Final S4</v>
      </c>
      <c r="G3" s="3" t="str">
        <f>"Final S5"</f>
        <v>Final S5</v>
      </c>
      <c r="H3" s="3" t="str">
        <f>"Final S6"</f>
        <v>Final S6</v>
      </c>
      <c r="I3" s="3" t="str">
        <f>"Final S7"</f>
        <v>Final S7</v>
      </c>
      <c r="J3" s="3" t="str">
        <f>"Bronze"</f>
        <v>Bronze</v>
      </c>
      <c r="K3" s="3" t="str">
        <f>"Gold Medal"</f>
        <v>Gold Medal</v>
      </c>
      <c r="L3" s="3" t="str">
        <f>"Aggregate"</f>
        <v>Aggregate</v>
      </c>
    </row>
    <row r="4" spans="1:13" x14ac:dyDescent="0.35">
      <c r="A4" s="2">
        <v>1</v>
      </c>
      <c r="B4" t="str">
        <f>"Kozeniesky, Lucas (122223)"</f>
        <v>Kozeniesky, Lucas (122223)</v>
      </c>
      <c r="C4" t="str">
        <f>"53.0"</f>
        <v>53.0</v>
      </c>
      <c r="D4" t="str">
        <f>"51.3"</f>
        <v>51.3</v>
      </c>
      <c r="E4" t="str">
        <f>"21.4"</f>
        <v>21.4</v>
      </c>
      <c r="F4" t="str">
        <f>"21.1"</f>
        <v>21.1</v>
      </c>
      <c r="G4" t="str">
        <f>"21.1"</f>
        <v>21.1</v>
      </c>
      <c r="H4" t="str">
        <f>"20.5"</f>
        <v>20.5</v>
      </c>
      <c r="I4" t="str">
        <f>"21.0"</f>
        <v>21.0</v>
      </c>
      <c r="J4" t="str">
        <f>"21.1"</f>
        <v>21.1</v>
      </c>
      <c r="K4" t="str">
        <f>"21.1"</f>
        <v>21.1</v>
      </c>
      <c r="L4" t="str">
        <f>"251.6"</f>
        <v>251.6</v>
      </c>
      <c r="M4" s="5" t="s">
        <v>36</v>
      </c>
    </row>
    <row r="5" spans="1:13" x14ac:dyDescent="0.35">
      <c r="A5" s="2">
        <v>2</v>
      </c>
      <c r="B5" t="str">
        <f>"Muske, Brandon, SGT, USA (66790)"</f>
        <v>Muske, Brandon, SGT, USA (66790)</v>
      </c>
      <c r="C5" t="str">
        <f>"51.0"</f>
        <v>51.0</v>
      </c>
      <c r="D5" t="str">
        <f>"52.4"</f>
        <v>52.4</v>
      </c>
      <c r="E5" t="str">
        <f>"21.1"</f>
        <v>21.1</v>
      </c>
      <c r="F5" t="str">
        <f>"20.7"</f>
        <v>20.7</v>
      </c>
      <c r="G5" t="str">
        <f>"20.6"</f>
        <v>20.6</v>
      </c>
      <c r="H5" t="str">
        <f>"21.3"</f>
        <v>21.3</v>
      </c>
      <c r="I5" t="str">
        <f>"20.5"</f>
        <v>20.5</v>
      </c>
      <c r="J5" t="str">
        <f>"21.3"</f>
        <v>21.3</v>
      </c>
      <c r="K5" t="str">
        <f>"20.6"</f>
        <v>20.6</v>
      </c>
      <c r="L5" t="str">
        <f>"249.5"</f>
        <v>249.5</v>
      </c>
      <c r="M5" s="6" t="s">
        <v>39</v>
      </c>
    </row>
    <row r="6" spans="1:13" x14ac:dyDescent="0.35">
      <c r="A6" s="2">
        <v>3</v>
      </c>
      <c r="B6" t="str">
        <f>"Sherry, Timothy, USA (72550)"</f>
        <v>Sherry, Timothy, USA (72550)</v>
      </c>
      <c r="C6" t="str">
        <f>"52.4"</f>
        <v>52.4</v>
      </c>
      <c r="D6" t="str">
        <f>"52.1"</f>
        <v>52.1</v>
      </c>
      <c r="E6" t="str">
        <f>"20.7"</f>
        <v>20.7</v>
      </c>
      <c r="F6" t="str">
        <f>"20.8"</f>
        <v>20.8</v>
      </c>
      <c r="G6" t="str">
        <f>"20.3"</f>
        <v>20.3</v>
      </c>
      <c r="H6" t="str">
        <f>"20.6"</f>
        <v>20.6</v>
      </c>
      <c r="I6" t="str">
        <f>"20.7"</f>
        <v>20.7</v>
      </c>
      <c r="J6" t="str">
        <f>"21.1"</f>
        <v>21.1</v>
      </c>
      <c r="K6" t="str">
        <f>""</f>
        <v/>
      </c>
      <c r="L6" t="str">
        <f>"228.7"</f>
        <v>228.7</v>
      </c>
      <c r="M6" s="7" t="s">
        <v>41</v>
      </c>
    </row>
    <row r="7" spans="1:13" x14ac:dyDescent="0.35">
      <c r="A7" s="2">
        <v>4</v>
      </c>
      <c r="B7" t="str">
        <f>"Sunderman, Patrick, SGT, USA (87989)"</f>
        <v>Sunderman, Patrick, SGT, USA (87989)</v>
      </c>
      <c r="C7" t="str">
        <f>"50.5"</f>
        <v>50.5</v>
      </c>
      <c r="D7" t="str">
        <f>"52.5"</f>
        <v>52.5</v>
      </c>
      <c r="E7" t="str">
        <f>"20.8"</f>
        <v>20.8</v>
      </c>
      <c r="F7" t="str">
        <f>"21.0"</f>
        <v>21.0</v>
      </c>
      <c r="G7" t="str">
        <f>"20.7"</f>
        <v>20.7</v>
      </c>
      <c r="H7" t="str">
        <f>"20.9"</f>
        <v>20.9</v>
      </c>
      <c r="I7" t="str">
        <f>"20.5"</f>
        <v>20.5</v>
      </c>
      <c r="J7" t="str">
        <f>""</f>
        <v/>
      </c>
      <c r="K7" t="str">
        <f>""</f>
        <v/>
      </c>
      <c r="L7" t="str">
        <f>"206.9"</f>
        <v>206.9</v>
      </c>
    </row>
    <row r="8" spans="1:13" x14ac:dyDescent="0.35">
      <c r="A8" s="2">
        <v>5</v>
      </c>
      <c r="B8" t="str">
        <f>"Rockett, Scott (204660)"</f>
        <v>Rockett, Scott (204660)</v>
      </c>
      <c r="C8" t="str">
        <f>"51.4"</f>
        <v>51.4</v>
      </c>
      <c r="D8" t="str">
        <f>"51.3"</f>
        <v>51.3</v>
      </c>
      <c r="E8" t="str">
        <f>"20.9"</f>
        <v>20.9</v>
      </c>
      <c r="F8" t="str">
        <f>"21.1"</f>
        <v>21.1</v>
      </c>
      <c r="G8" t="str">
        <f>"20.9"</f>
        <v>20.9</v>
      </c>
      <c r="H8" t="str">
        <f>"20.7"</f>
        <v>20.7</v>
      </c>
      <c r="I8" t="str">
        <f>""</f>
        <v/>
      </c>
      <c r="J8" t="str">
        <f>"20.0"</f>
        <v>20.0</v>
      </c>
      <c r="K8" t="str">
        <f>""</f>
        <v/>
      </c>
      <c r="L8" t="str">
        <f>"206.3"</f>
        <v>206.3</v>
      </c>
    </row>
    <row r="9" spans="1:13" x14ac:dyDescent="0.35">
      <c r="A9" s="2">
        <v>6</v>
      </c>
      <c r="B9" t="str">
        <f>"Roe, Ivan, SP4, USA (140994)"</f>
        <v>Roe, Ivan, SP4, USA (140994)</v>
      </c>
      <c r="C9" t="str">
        <f>"51.1"</f>
        <v>51.1</v>
      </c>
      <c r="D9" t="str">
        <f>"51.5"</f>
        <v>51.5</v>
      </c>
      <c r="E9" t="str">
        <f>"20.3"</f>
        <v>20.3</v>
      </c>
      <c r="F9" t="str">
        <f>"20.9"</f>
        <v>20.9</v>
      </c>
      <c r="G9" t="str">
        <f>"21.4"</f>
        <v>21.4</v>
      </c>
      <c r="H9" t="str">
        <f>""</f>
        <v/>
      </c>
      <c r="I9" t="str">
        <f>""</f>
        <v/>
      </c>
      <c r="J9" t="str">
        <f>"19.5"</f>
        <v>19.5</v>
      </c>
      <c r="K9" t="str">
        <f>""</f>
        <v/>
      </c>
      <c r="L9" t="str">
        <f>"184.7"</f>
        <v>184.7</v>
      </c>
    </row>
    <row r="10" spans="1:13" x14ac:dyDescent="0.35">
      <c r="A10" s="2">
        <v>7</v>
      </c>
      <c r="B10" t="str">
        <f>"Clark, Levi, SP4, USA (239546)"</f>
        <v>Clark, Levi, SP4, USA (239546)</v>
      </c>
      <c r="C10" t="str">
        <f>"50.6"</f>
        <v>50.6</v>
      </c>
      <c r="D10" t="str">
        <f>"51.2"</f>
        <v>51.2</v>
      </c>
      <c r="E10" t="str">
        <f>"21.0"</f>
        <v>21.0</v>
      </c>
      <c r="F10" t="str">
        <f>"18.8"</f>
        <v>18.8</v>
      </c>
      <c r="G10" t="str">
        <f>""</f>
        <v/>
      </c>
      <c r="H10" t="str">
        <f>""</f>
        <v/>
      </c>
      <c r="I10" t="str">
        <f>""</f>
        <v/>
      </c>
      <c r="J10" t="str">
        <f>""</f>
        <v/>
      </c>
      <c r="K10" t="str">
        <f>""</f>
        <v/>
      </c>
      <c r="L10" t="str">
        <f>"141.6"</f>
        <v>141.6</v>
      </c>
    </row>
    <row r="11" spans="1:13" x14ac:dyDescent="0.35">
      <c r="A11" s="2">
        <v>8</v>
      </c>
      <c r="B11" t="str">
        <f>"Duryea, Andrew (235240)"</f>
        <v>Duryea, Andrew (235240)</v>
      </c>
      <c r="C11" t="str">
        <f>"51.6"</f>
        <v>51.6</v>
      </c>
      <c r="D11" t="str">
        <f>"51.2"</f>
        <v>51.2</v>
      </c>
      <c r="E11" t="str">
        <f>"19.6"</f>
        <v>19.6</v>
      </c>
      <c r="F11" t="str">
        <f>""</f>
        <v/>
      </c>
      <c r="G11" t="str">
        <f>""</f>
        <v/>
      </c>
      <c r="H11" t="str">
        <f>""</f>
        <v/>
      </c>
      <c r="I11" t="str">
        <f>""</f>
        <v/>
      </c>
      <c r="J11" t="str">
        <f>""</f>
        <v/>
      </c>
      <c r="K11" t="str">
        <f>""</f>
        <v/>
      </c>
      <c r="L11" t="str">
        <f>"122.4"</f>
        <v>122.4</v>
      </c>
    </row>
  </sheetData>
  <mergeCells count="2">
    <mergeCell ref="A1:L1"/>
    <mergeCell ref="A2:L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G111"/>
  <sheetViews>
    <sheetView workbookViewId="0">
      <selection sqref="A1:G1"/>
    </sheetView>
  </sheetViews>
  <sheetFormatPr defaultRowHeight="14.5" x14ac:dyDescent="0.35"/>
  <cols>
    <col min="1" max="1" width="7.26953125" style="3" customWidth="1"/>
    <col min="2" max="2" width="34.54296875" bestFit="1" customWidth="1"/>
    <col min="3" max="3" width="13.54296875" bestFit="1" customWidth="1"/>
    <col min="7" max="7" width="10" bestFit="1" customWidth="1"/>
  </cols>
  <sheetData>
    <row r="1" spans="1:7" x14ac:dyDescent="0.35">
      <c r="A1" s="8" t="str">
        <f>"2021 USAS Winter Air Gun - Air Rifle"</f>
        <v>2021 USAS Winter Air Gun - Air Rifle</v>
      </c>
      <c r="B1" s="8"/>
      <c r="C1" s="8"/>
      <c r="D1" s="8"/>
      <c r="E1" s="8"/>
      <c r="F1" s="8"/>
      <c r="G1" s="8"/>
    </row>
    <row r="2" spans="1:7" x14ac:dyDescent="0.35">
      <c r="A2" s="8" t="str">
        <f>"Anniston Qualification Aggregate"</f>
        <v>Anniston Qualification Aggregate</v>
      </c>
      <c r="B2" s="8"/>
      <c r="C2" s="8"/>
      <c r="D2" s="8"/>
      <c r="E2" s="8"/>
      <c r="F2" s="8"/>
      <c r="G2" s="8"/>
    </row>
    <row r="3" spans="1:7" x14ac:dyDescent="0.35">
      <c r="A3" s="9" t="str">
        <f>"Women's - Air Rifle"</f>
        <v>Women's - Air Rifle</v>
      </c>
      <c r="B3" s="9"/>
      <c r="C3" s="9"/>
      <c r="D3" s="9"/>
      <c r="E3" s="9"/>
      <c r="F3" s="9"/>
      <c r="G3" s="9"/>
    </row>
    <row r="4" spans="1:7" x14ac:dyDescent="0.35">
      <c r="A4" s="2" t="str">
        <f>"Place"</f>
        <v>Place</v>
      </c>
      <c r="B4" s="3" t="str">
        <f>"Competitor (Comp Num)"</f>
        <v>Competitor (Comp Num)</v>
      </c>
      <c r="C4" s="3" t="str">
        <f>"USAS Number"</f>
        <v>USAS Number</v>
      </c>
      <c r="D4" s="3" t="str">
        <f>"D1 60"</f>
        <v>D1 60</v>
      </c>
      <c r="E4" s="3" t="str">
        <f>"D2 60"</f>
        <v>D2 60</v>
      </c>
      <c r="F4" s="3" t="str">
        <f>"D3 60"</f>
        <v>D3 60</v>
      </c>
      <c r="G4" s="3" t="str">
        <f>"Aggregate"</f>
        <v>Aggregate</v>
      </c>
    </row>
    <row r="5" spans="1:7" x14ac:dyDescent="0.35">
      <c r="A5" s="2">
        <v>1</v>
      </c>
      <c r="B5" t="str">
        <f>"Weisz, Alison, SP4, USA (54339)"</f>
        <v>Weisz, Alison, SP4, USA (54339)</v>
      </c>
      <c r="C5" t="str">
        <f>"114325"</f>
        <v>114325</v>
      </c>
      <c r="D5" t="str">
        <f>"632.8"</f>
        <v>632.8</v>
      </c>
      <c r="E5" t="str">
        <f>"631.2"</f>
        <v>631.2</v>
      </c>
      <c r="F5" t="str">
        <f>"630.5"</f>
        <v>630.5</v>
      </c>
      <c r="G5" t="str">
        <f>"1,894.5"</f>
        <v>1,894.5</v>
      </c>
    </row>
    <row r="6" spans="1:7" x14ac:dyDescent="0.35">
      <c r="A6" s="2">
        <v>2</v>
      </c>
      <c r="B6" t="str">
        <f>"Maddalena, Sagen, SP4, USA (108097)"</f>
        <v>Maddalena, Sagen, SP4, USA (108097)</v>
      </c>
      <c r="C6" t="str">
        <f>"1037124"</f>
        <v>1037124</v>
      </c>
      <c r="D6" t="str">
        <f>"629.6"</f>
        <v>629.6</v>
      </c>
      <c r="E6" t="str">
        <f>"632.3"</f>
        <v>632.3</v>
      </c>
      <c r="F6" t="str">
        <f>"632.2"</f>
        <v>632.2</v>
      </c>
      <c r="G6" t="str">
        <f>"1,894.1"</f>
        <v>1,894.1</v>
      </c>
    </row>
    <row r="7" spans="1:7" x14ac:dyDescent="0.35">
      <c r="A7" s="2">
        <v>3</v>
      </c>
      <c r="B7" t="str">
        <f>"D'Souza, Peninah (261499)"</f>
        <v>D'Souza, Peninah (261499)</v>
      </c>
      <c r="C7" t="str">
        <f>"104399"</f>
        <v>104399</v>
      </c>
      <c r="D7" t="str">
        <f>"626.1"</f>
        <v>626.1</v>
      </c>
      <c r="E7" t="str">
        <f>"631.1"</f>
        <v>631.1</v>
      </c>
      <c r="F7" t="str">
        <f>"625.8"</f>
        <v>625.8</v>
      </c>
      <c r="G7" t="str">
        <f>"1,883.0"</f>
        <v>1,883.0</v>
      </c>
    </row>
    <row r="8" spans="1:7" x14ac:dyDescent="0.35">
      <c r="A8" s="2">
        <v>4</v>
      </c>
      <c r="B8" t="str">
        <f>"Beard, Sarah, 1LT, USA (94419)"</f>
        <v>Beard, Sarah, 1LT, USA (94419)</v>
      </c>
      <c r="C8" t="str">
        <f>"114208"</f>
        <v>114208</v>
      </c>
      <c r="D8" t="str">
        <f>"623.8"</f>
        <v>623.8</v>
      </c>
      <c r="E8" t="str">
        <f>"628.9"</f>
        <v>628.9</v>
      </c>
      <c r="F8" t="str">
        <f>"629.2"</f>
        <v>629.2</v>
      </c>
      <c r="G8" t="str">
        <f>"1,881.9"</f>
        <v>1,881.9</v>
      </c>
    </row>
    <row r="9" spans="1:7" x14ac:dyDescent="0.35">
      <c r="A9" s="2">
        <v>5</v>
      </c>
      <c r="B9" t="str">
        <f>"Thrasher, Virginia (161361)"</f>
        <v>Thrasher, Virginia (161361)</v>
      </c>
      <c r="C9" t="str">
        <f>"1031798"</f>
        <v>1031798</v>
      </c>
      <c r="D9" t="str">
        <f>"626.8"</f>
        <v>626.8</v>
      </c>
      <c r="E9" t="str">
        <f>"627.6"</f>
        <v>627.6</v>
      </c>
      <c r="F9" t="str">
        <f>"624.0"</f>
        <v>624.0</v>
      </c>
      <c r="G9" t="str">
        <f>"1,878.4"</f>
        <v>1,878.4</v>
      </c>
    </row>
    <row r="10" spans="1:7" x14ac:dyDescent="0.35">
      <c r="A10" s="2">
        <v>6</v>
      </c>
      <c r="B10" t="str">
        <f>"Hemphill, Kristen (230811)"</f>
        <v>Hemphill, Kristen (230811)</v>
      </c>
      <c r="C10" t="str">
        <f>"101745"</f>
        <v>101745</v>
      </c>
      <c r="D10" t="str">
        <f>"622.8"</f>
        <v>622.8</v>
      </c>
      <c r="E10" t="str">
        <f>"627.8"</f>
        <v>627.8</v>
      </c>
      <c r="F10" t="str">
        <f>"625.2"</f>
        <v>625.2</v>
      </c>
      <c r="G10" t="str">
        <f>"1,875.8"</f>
        <v>1,875.8</v>
      </c>
    </row>
    <row r="11" spans="1:7" x14ac:dyDescent="0.35">
      <c r="A11" s="2">
        <v>7</v>
      </c>
      <c r="B11" t="str">
        <f>"Grundsøe, Stephanie (400418)"</f>
        <v>Grundsøe, Stephanie (400418)</v>
      </c>
      <c r="C11" t="str">
        <f>"1044641"</f>
        <v>1044641</v>
      </c>
      <c r="D11" t="str">
        <f>"624.1"</f>
        <v>624.1</v>
      </c>
      <c r="E11" t="str">
        <f>"624.9"</f>
        <v>624.9</v>
      </c>
      <c r="F11" t="str">
        <f>"624.0"</f>
        <v>624.0</v>
      </c>
      <c r="G11" t="str">
        <f>"1,873.0"</f>
        <v>1,873.0</v>
      </c>
    </row>
    <row r="12" spans="1:7" x14ac:dyDescent="0.35">
      <c r="A12" s="2">
        <v>8</v>
      </c>
      <c r="B12" t="str">
        <f>"Gordon, Abigail (192852)"</f>
        <v>Gordon, Abigail (192852)</v>
      </c>
      <c r="C12" t="str">
        <f>"1036248"</f>
        <v>1036248</v>
      </c>
      <c r="D12" t="str">
        <f>"624.3"</f>
        <v>624.3</v>
      </c>
      <c r="E12" t="str">
        <f>"626.7"</f>
        <v>626.7</v>
      </c>
      <c r="F12" t="str">
        <f>"620.2"</f>
        <v>620.2</v>
      </c>
      <c r="G12" t="str">
        <f>"1,871.2"</f>
        <v>1,871.2</v>
      </c>
    </row>
    <row r="13" spans="1:7" x14ac:dyDescent="0.35">
      <c r="A13" s="2">
        <v>9</v>
      </c>
      <c r="B13" t="str">
        <f>"Mercado Martinez, Yarimar (400422)"</f>
        <v>Mercado Martinez, Yarimar (400422)</v>
      </c>
      <c r="C13" t="str">
        <f>"1038848"</f>
        <v>1038848</v>
      </c>
      <c r="D13" t="str">
        <f>"623.8"</f>
        <v>623.8</v>
      </c>
      <c r="E13" t="str">
        <f>"621.7"</f>
        <v>621.7</v>
      </c>
      <c r="F13" t="str">
        <f>"625.5"</f>
        <v>625.5</v>
      </c>
      <c r="G13" t="str">
        <f>"1,871.0"</f>
        <v>1,871.0</v>
      </c>
    </row>
    <row r="14" spans="1:7" x14ac:dyDescent="0.35">
      <c r="A14" s="2">
        <v>10</v>
      </c>
      <c r="B14" t="str">
        <f>"Zaun, Katie (206166)"</f>
        <v>Zaun, Katie (206166)</v>
      </c>
      <c r="C14" t="str">
        <f>"1034676"</f>
        <v>1034676</v>
      </c>
      <c r="D14" t="str">
        <f>"620.5"</f>
        <v>620.5</v>
      </c>
      <c r="E14" t="str">
        <f>"624.5"</f>
        <v>624.5</v>
      </c>
      <c r="F14" t="str">
        <f>"624.3"</f>
        <v>624.3</v>
      </c>
      <c r="G14" t="str">
        <f>"1,869.3"</f>
        <v>1,869.3</v>
      </c>
    </row>
    <row r="15" spans="1:7" x14ac:dyDescent="0.35">
      <c r="A15" s="2">
        <v>11</v>
      </c>
      <c r="B15" t="str">
        <f>"Burrow, Addy (186909)"</f>
        <v>Burrow, Addy (186909)</v>
      </c>
      <c r="C15" t="str">
        <f>"1035099"</f>
        <v>1035099</v>
      </c>
      <c r="D15" t="str">
        <f>"621.2"</f>
        <v>621.2</v>
      </c>
      <c r="E15" t="str">
        <f>"624.9"</f>
        <v>624.9</v>
      </c>
      <c r="F15" t="str">
        <f>"622.7"</f>
        <v>622.7</v>
      </c>
      <c r="G15" t="str">
        <f>"1,868.8"</f>
        <v>1,868.8</v>
      </c>
    </row>
    <row r="16" spans="1:7" x14ac:dyDescent="0.35">
      <c r="A16" s="2">
        <v>12</v>
      </c>
      <c r="B16" t="str">
        <f>"Allan, Stephanie (400404)"</f>
        <v>Allan, Stephanie (400404)</v>
      </c>
      <c r="C16" t="str">
        <f>"100910"</f>
        <v>100910</v>
      </c>
      <c r="D16" t="str">
        <f>"622.0"</f>
        <v>622.0</v>
      </c>
      <c r="E16" t="str">
        <f>"622.7"</f>
        <v>622.7</v>
      </c>
      <c r="F16" t="str">
        <f>"622.0"</f>
        <v>622.0</v>
      </c>
      <c r="G16" t="str">
        <f>"1,866.7"</f>
        <v>1,866.7</v>
      </c>
    </row>
    <row r="17" spans="1:7" x14ac:dyDescent="0.35">
      <c r="A17" s="2">
        <v>13</v>
      </c>
      <c r="B17" t="str">
        <f>"Hurley, Lauren (284205)"</f>
        <v>Hurley, Lauren (284205)</v>
      </c>
      <c r="C17" t="str">
        <f>"104441"</f>
        <v>104441</v>
      </c>
      <c r="D17" t="str">
        <f>"621.5"</f>
        <v>621.5</v>
      </c>
      <c r="E17" t="str">
        <f>"623.7"</f>
        <v>623.7</v>
      </c>
      <c r="F17" t="str">
        <f>"621.2"</f>
        <v>621.2</v>
      </c>
      <c r="G17" t="str">
        <f>"1,866.4"</f>
        <v>1,866.4</v>
      </c>
    </row>
    <row r="18" spans="1:7" x14ac:dyDescent="0.35">
      <c r="A18" s="2">
        <v>14</v>
      </c>
      <c r="B18" t="str">
        <f>"Castillo, Kaylene (263667)"</f>
        <v>Castillo, Kaylene (263667)</v>
      </c>
      <c r="C18" t="str">
        <f>"1037658"</f>
        <v>1037658</v>
      </c>
      <c r="D18" t="str">
        <f>"625.4"</f>
        <v>625.4</v>
      </c>
      <c r="E18" t="str">
        <f>"617.0"</f>
        <v>617.0</v>
      </c>
      <c r="F18" t="str">
        <f>"614.4"</f>
        <v>614.4</v>
      </c>
      <c r="G18" t="str">
        <f>"1,856.8"</f>
        <v>1,856.8</v>
      </c>
    </row>
    <row r="19" spans="1:7" x14ac:dyDescent="0.35">
      <c r="A19" s="2">
        <v>15</v>
      </c>
      <c r="B19" t="str">
        <f>"Camp, Camryn (364938)"</f>
        <v>Camp, Camryn (364938)</v>
      </c>
      <c r="C19" t="str">
        <f>"1040895"</f>
        <v>1040895</v>
      </c>
      <c r="D19" t="str">
        <f>"623.1"</f>
        <v>623.1</v>
      </c>
      <c r="E19" t="str">
        <f>"614.0"</f>
        <v>614.0</v>
      </c>
      <c r="F19" t="str">
        <f>"617.9"</f>
        <v>617.9</v>
      </c>
      <c r="G19" t="str">
        <f>"1,855.0"</f>
        <v>1,855.0</v>
      </c>
    </row>
    <row r="20" spans="1:7" x14ac:dyDescent="0.35">
      <c r="A20" s="2">
        <v>16</v>
      </c>
      <c r="B20" t="str">
        <f>"Derting, Kristen (219397)"</f>
        <v>Derting, Kristen (219397)</v>
      </c>
      <c r="C20" t="str">
        <f>"100837"</f>
        <v>100837</v>
      </c>
      <c r="D20" t="str">
        <f>"615.6"</f>
        <v>615.6</v>
      </c>
      <c r="E20" t="str">
        <f>"618.9"</f>
        <v>618.9</v>
      </c>
      <c r="F20" t="str">
        <f>"620.1"</f>
        <v>620.1</v>
      </c>
      <c r="G20" t="str">
        <f>"1,854.6"</f>
        <v>1,854.6</v>
      </c>
    </row>
    <row r="21" spans="1:7" x14ac:dyDescent="0.35">
      <c r="A21" s="2">
        <v>17</v>
      </c>
      <c r="B21" t="str">
        <f>"O'Neel, Claire (158932)"</f>
        <v>O'Neel, Claire (158932)</v>
      </c>
      <c r="C21" t="str">
        <f>"1035743"</f>
        <v>1035743</v>
      </c>
      <c r="D21" t="str">
        <f>"625.0"</f>
        <v>625.0</v>
      </c>
      <c r="E21" t="str">
        <f>"617.3"</f>
        <v>617.3</v>
      </c>
      <c r="F21" t="str">
        <f>"611.8"</f>
        <v>611.8</v>
      </c>
      <c r="G21" t="str">
        <f>"1,854.1"</f>
        <v>1,854.1</v>
      </c>
    </row>
    <row r="22" spans="1:7" x14ac:dyDescent="0.35">
      <c r="A22" s="2">
        <v>18</v>
      </c>
      <c r="B22" t="str">
        <f>"White, Anne (262921)"</f>
        <v>White, Anne (262921)</v>
      </c>
      <c r="C22" t="str">
        <f>"104195"</f>
        <v>104195</v>
      </c>
      <c r="D22" t="str">
        <f>"613.5"</f>
        <v>613.5</v>
      </c>
      <c r="E22" t="str">
        <f>"617.7"</f>
        <v>617.7</v>
      </c>
      <c r="F22" t="str">
        <f>"621.1"</f>
        <v>621.1</v>
      </c>
      <c r="G22" t="str">
        <f>"1,852.3"</f>
        <v>1,852.3</v>
      </c>
    </row>
    <row r="23" spans="1:7" x14ac:dyDescent="0.35">
      <c r="A23" s="2">
        <v>19</v>
      </c>
      <c r="B23" t="str">
        <f>"Charles, Rachael (282697)"</f>
        <v>Charles, Rachael (282697)</v>
      </c>
      <c r="C23" t="str">
        <f>"1037973"</f>
        <v>1037973</v>
      </c>
      <c r="D23" t="str">
        <f>"617.2"</f>
        <v>617.2</v>
      </c>
      <c r="E23" t="str">
        <f>"616.0"</f>
        <v>616.0</v>
      </c>
      <c r="F23" t="str">
        <f>"618.9"</f>
        <v>618.9</v>
      </c>
      <c r="G23" t="str">
        <f>"1,852.1"</f>
        <v>1,852.1</v>
      </c>
    </row>
    <row r="24" spans="1:7" x14ac:dyDescent="0.35">
      <c r="A24" s="2">
        <v>20</v>
      </c>
      <c r="B24" t="str">
        <f>"Hanson, Adrienne (300908)"</f>
        <v>Hanson, Adrienne (300908)</v>
      </c>
      <c r="C24" t="str">
        <f>"1038604"</f>
        <v>1038604</v>
      </c>
      <c r="D24" t="str">
        <f>"620.5"</f>
        <v>620.5</v>
      </c>
      <c r="E24" t="str">
        <f>"614.7"</f>
        <v>614.7</v>
      </c>
      <c r="F24" t="str">
        <f>"615.3"</f>
        <v>615.3</v>
      </c>
      <c r="G24" t="str">
        <f>"1,850.5"</f>
        <v>1,850.5</v>
      </c>
    </row>
    <row r="25" spans="1:7" x14ac:dyDescent="0.35">
      <c r="A25" s="2">
        <v>21</v>
      </c>
      <c r="B25" t="str">
        <f>"Taschuk, Grace (140689)"</f>
        <v>Taschuk, Grace (140689)</v>
      </c>
      <c r="C25" t="str">
        <f>"1030517"</f>
        <v>1030517</v>
      </c>
      <c r="D25" t="str">
        <f>"616.9"</f>
        <v>616.9</v>
      </c>
      <c r="E25" t="str">
        <f>"619.8"</f>
        <v>619.8</v>
      </c>
      <c r="F25" t="str">
        <f>"613.6"</f>
        <v>613.6</v>
      </c>
      <c r="G25" t="str">
        <f>"1,850.3"</f>
        <v>1,850.3</v>
      </c>
    </row>
    <row r="26" spans="1:7" x14ac:dyDescent="0.35">
      <c r="A26" s="2">
        <v>22</v>
      </c>
      <c r="B26" t="str">
        <f>"Ewton, Kenlee (314796)"</f>
        <v>Ewton, Kenlee (314796)</v>
      </c>
      <c r="C26" t="str">
        <f>"1040465"</f>
        <v>1040465</v>
      </c>
      <c r="D26" t="str">
        <f>"611.5"</f>
        <v>611.5</v>
      </c>
      <c r="E26" t="str">
        <f>"618.2"</f>
        <v>618.2</v>
      </c>
      <c r="F26" t="str">
        <f>"617.4"</f>
        <v>617.4</v>
      </c>
      <c r="G26" t="str">
        <f>"1,847.1"</f>
        <v>1,847.1</v>
      </c>
    </row>
    <row r="27" spans="1:7" x14ac:dyDescent="0.35">
      <c r="A27" s="2">
        <v>23</v>
      </c>
      <c r="B27" t="str">
        <f>"Lambdin, M'Leah (264819)"</f>
        <v>Lambdin, M'Leah (264819)</v>
      </c>
      <c r="C27" t="str">
        <f>"102547"</f>
        <v>102547</v>
      </c>
      <c r="D27" t="str">
        <f>"616.5"</f>
        <v>616.5</v>
      </c>
      <c r="E27" t="str">
        <f>"615.7"</f>
        <v>615.7</v>
      </c>
      <c r="F27" t="str">
        <f>"614.7"</f>
        <v>614.7</v>
      </c>
      <c r="G27" t="str">
        <f>"1,846.9"</f>
        <v>1,846.9</v>
      </c>
    </row>
    <row r="28" spans="1:7" x14ac:dyDescent="0.35">
      <c r="A28" s="2">
        <v>24</v>
      </c>
      <c r="B28" t="str">
        <f>"Probst, Elizabeth (290200)"</f>
        <v>Probst, Elizabeth (290200)</v>
      </c>
      <c r="C28" t="str">
        <f>"1038123"</f>
        <v>1038123</v>
      </c>
      <c r="D28" t="str">
        <f>"614.0"</f>
        <v>614.0</v>
      </c>
      <c r="E28" t="str">
        <f>"614.9"</f>
        <v>614.9</v>
      </c>
      <c r="F28" t="str">
        <f>"618.0"</f>
        <v>618.0</v>
      </c>
      <c r="G28" t="str">
        <f>"1,846.9"</f>
        <v>1,846.9</v>
      </c>
    </row>
    <row r="29" spans="1:7" x14ac:dyDescent="0.35">
      <c r="A29" s="2">
        <v>25</v>
      </c>
      <c r="B29" t="str">
        <f>"Hogan, Mikole  (281932)"</f>
        <v>Hogan, Mikole  (281932)</v>
      </c>
      <c r="C29" t="str">
        <f>"1039261"</f>
        <v>1039261</v>
      </c>
      <c r="D29" t="str">
        <f>"613.1"</f>
        <v>613.1</v>
      </c>
      <c r="E29" t="str">
        <f>"612.9"</f>
        <v>612.9</v>
      </c>
      <c r="F29" t="str">
        <f>"619.4"</f>
        <v>619.4</v>
      </c>
      <c r="G29" t="str">
        <f>"1,845.4"</f>
        <v>1,845.4</v>
      </c>
    </row>
    <row r="30" spans="1:7" x14ac:dyDescent="0.35">
      <c r="A30" s="2">
        <v>26</v>
      </c>
      <c r="B30" t="str">
        <f>"Torrence, Megan (278617)"</f>
        <v>Torrence, Megan (278617)</v>
      </c>
      <c r="C30" t="str">
        <f>"104356"</f>
        <v>104356</v>
      </c>
      <c r="D30" t="str">
        <f>"613.9"</f>
        <v>613.9</v>
      </c>
      <c r="E30" t="str">
        <f>"612.5"</f>
        <v>612.5</v>
      </c>
      <c r="F30" t="str">
        <f>"617.2"</f>
        <v>617.2</v>
      </c>
      <c r="G30" t="str">
        <f>"1,843.6"</f>
        <v>1,843.6</v>
      </c>
    </row>
    <row r="31" spans="1:7" x14ac:dyDescent="0.35">
      <c r="A31" s="2">
        <v>27</v>
      </c>
      <c r="B31" t="str">
        <f>"Henry, Angeline (147801)"</f>
        <v>Henry, Angeline (147801)</v>
      </c>
      <c r="C31" t="str">
        <f>"1034326"</f>
        <v>1034326</v>
      </c>
      <c r="D31" t="str">
        <f>"614.3"</f>
        <v>614.3</v>
      </c>
      <c r="E31" t="str">
        <f>"612.6"</f>
        <v>612.6</v>
      </c>
      <c r="F31" t="str">
        <f>"616.5"</f>
        <v>616.5</v>
      </c>
      <c r="G31" t="str">
        <f>"1,843.4"</f>
        <v>1,843.4</v>
      </c>
    </row>
    <row r="32" spans="1:7" x14ac:dyDescent="0.35">
      <c r="A32" s="2">
        <v>28</v>
      </c>
      <c r="B32" t="str">
        <f>"Butler, Bethany (320809)"</f>
        <v>Butler, Bethany (320809)</v>
      </c>
      <c r="C32" t="str">
        <f>"1039170"</f>
        <v>1039170</v>
      </c>
      <c r="D32" t="str">
        <f>"614.4"</f>
        <v>614.4</v>
      </c>
      <c r="E32" t="str">
        <f>"613.3"</f>
        <v>613.3</v>
      </c>
      <c r="F32" t="str">
        <f>"615.3"</f>
        <v>615.3</v>
      </c>
      <c r="G32" t="str">
        <f>"1,843.0"</f>
        <v>1,843.0</v>
      </c>
    </row>
    <row r="33" spans="1:7" x14ac:dyDescent="0.35">
      <c r="A33" s="2">
        <v>29</v>
      </c>
      <c r="B33" t="str">
        <f>"Mick, Charlotte (274489)"</f>
        <v>Mick, Charlotte (274489)</v>
      </c>
      <c r="C33" t="str">
        <f>"1037905"</f>
        <v>1037905</v>
      </c>
      <c r="D33" t="str">
        <f>"613.8"</f>
        <v>613.8</v>
      </c>
      <c r="E33" t="str">
        <f>"611.5"</f>
        <v>611.5</v>
      </c>
      <c r="F33" t="str">
        <f>"616.9"</f>
        <v>616.9</v>
      </c>
      <c r="G33" t="str">
        <f>"1,842.2"</f>
        <v>1,842.2</v>
      </c>
    </row>
    <row r="34" spans="1:7" x14ac:dyDescent="0.35">
      <c r="A34" s="2">
        <v>30</v>
      </c>
      <c r="B34" t="str">
        <f>"Zakrezeski, Jillian (205326)"</f>
        <v>Zakrezeski, Jillian (205326)</v>
      </c>
      <c r="C34" t="str">
        <f>"1037998"</f>
        <v>1037998</v>
      </c>
      <c r="D34" t="str">
        <f>"611.3"</f>
        <v>611.3</v>
      </c>
      <c r="E34" t="str">
        <f>"619.4"</f>
        <v>619.4</v>
      </c>
      <c r="F34" t="str">
        <f>"611.2"</f>
        <v>611.2</v>
      </c>
      <c r="G34" t="str">
        <f>"1,841.9"</f>
        <v>1,841.9</v>
      </c>
    </row>
    <row r="35" spans="1:7" x14ac:dyDescent="0.35">
      <c r="A35" s="2">
        <v>31</v>
      </c>
      <c r="B35" t="str">
        <f>"Baldwin, Isabella (347836)"</f>
        <v>Baldwin, Isabella (347836)</v>
      </c>
      <c r="C35" t="str">
        <f>"1042427"</f>
        <v>1042427</v>
      </c>
      <c r="D35" t="str">
        <f>"611.0"</f>
        <v>611.0</v>
      </c>
      <c r="E35" t="str">
        <f>"615.1"</f>
        <v>615.1</v>
      </c>
      <c r="F35" t="str">
        <f>"610.8"</f>
        <v>610.8</v>
      </c>
      <c r="G35" t="str">
        <f>"1,836.9"</f>
        <v>1,836.9</v>
      </c>
    </row>
    <row r="36" spans="1:7" x14ac:dyDescent="0.35">
      <c r="A36" s="2">
        <v>32</v>
      </c>
      <c r="B36" t="str">
        <f>"Butt, Aliya (200544)"</f>
        <v>Butt, Aliya (200544)</v>
      </c>
      <c r="C36" t="str">
        <f>"1036828"</f>
        <v>1036828</v>
      </c>
      <c r="D36" t="str">
        <f>"607.4"</f>
        <v>607.4</v>
      </c>
      <c r="E36" t="str">
        <f>"612.6"</f>
        <v>612.6</v>
      </c>
      <c r="F36" t="str">
        <f>"615.4"</f>
        <v>615.4</v>
      </c>
      <c r="G36" t="str">
        <f>"1,835.4"</f>
        <v>1,835.4</v>
      </c>
    </row>
    <row r="37" spans="1:7" x14ac:dyDescent="0.35">
      <c r="A37" s="2">
        <v>33</v>
      </c>
      <c r="B37" t="str">
        <f>"Welsh, Charlotte  (263870)"</f>
        <v>Welsh, Charlotte  (263870)</v>
      </c>
      <c r="C37" t="str">
        <f>"1042443"</f>
        <v>1042443</v>
      </c>
      <c r="D37" t="str">
        <f>"613.2"</f>
        <v>613.2</v>
      </c>
      <c r="E37" t="str">
        <f>"608.3"</f>
        <v>608.3</v>
      </c>
      <c r="F37" t="str">
        <f>"613.5"</f>
        <v>613.5</v>
      </c>
      <c r="G37" t="str">
        <f>"1,835.0"</f>
        <v>1,835.0</v>
      </c>
    </row>
    <row r="38" spans="1:7" x14ac:dyDescent="0.35">
      <c r="A38" s="2">
        <v>34</v>
      </c>
      <c r="B38" t="str">
        <f>"Buesseler, Abigail (159810)"</f>
        <v>Buesseler, Abigail (159810)</v>
      </c>
      <c r="C38" t="str">
        <f>"100620"</f>
        <v>100620</v>
      </c>
      <c r="D38" t="str">
        <f>"600.3"</f>
        <v>600.3</v>
      </c>
      <c r="E38" t="str">
        <f>"617.3"</f>
        <v>617.3</v>
      </c>
      <c r="F38" t="str">
        <f>"616.0"</f>
        <v>616.0</v>
      </c>
      <c r="G38" t="str">
        <f>"1,833.6"</f>
        <v>1,833.6</v>
      </c>
    </row>
    <row r="39" spans="1:7" x14ac:dyDescent="0.35">
      <c r="A39" s="2">
        <v>35</v>
      </c>
      <c r="B39" t="str">
        <f>"Dinh, Gracie (330050)"</f>
        <v>Dinh, Gracie (330050)</v>
      </c>
      <c r="C39" t="str">
        <f>"1042683"</f>
        <v>1042683</v>
      </c>
      <c r="D39" t="str">
        <f>"610.2"</f>
        <v>610.2</v>
      </c>
      <c r="E39" t="str">
        <f>"606.8"</f>
        <v>606.8</v>
      </c>
      <c r="F39" t="str">
        <f>"616.3"</f>
        <v>616.3</v>
      </c>
      <c r="G39" t="str">
        <f>"1,833.3"</f>
        <v>1,833.3</v>
      </c>
    </row>
    <row r="40" spans="1:7" x14ac:dyDescent="0.35">
      <c r="A40" s="2">
        <v>36</v>
      </c>
      <c r="B40" t="str">
        <f>"Kohan, Amy (276356)"</f>
        <v>Kohan, Amy (276356)</v>
      </c>
      <c r="C40" t="str">
        <f>"1037708"</f>
        <v>1037708</v>
      </c>
      <c r="D40" t="str">
        <f>"609.3"</f>
        <v>609.3</v>
      </c>
      <c r="E40" t="str">
        <f>"609.9"</f>
        <v>609.9</v>
      </c>
      <c r="F40" t="str">
        <f>"614.1"</f>
        <v>614.1</v>
      </c>
      <c r="G40" t="str">
        <f>"1,833.3"</f>
        <v>1,833.3</v>
      </c>
    </row>
    <row r="41" spans="1:7" x14ac:dyDescent="0.35">
      <c r="A41" s="2">
        <v>37</v>
      </c>
      <c r="B41" t="str">
        <f>"Cameron, Maya (331188)"</f>
        <v>Cameron, Maya (331188)</v>
      </c>
      <c r="C41" t="str">
        <f>"1044397"</f>
        <v>1044397</v>
      </c>
      <c r="D41" t="str">
        <f>"607.1"</f>
        <v>607.1</v>
      </c>
      <c r="E41" t="str">
        <f>"609.2"</f>
        <v>609.2</v>
      </c>
      <c r="F41" t="str">
        <f>"614.4"</f>
        <v>614.4</v>
      </c>
      <c r="G41" t="str">
        <f>"1,830.7"</f>
        <v>1,830.7</v>
      </c>
    </row>
    <row r="42" spans="1:7" x14ac:dyDescent="0.35">
      <c r="A42" s="2">
        <v>38</v>
      </c>
      <c r="B42" t="str">
        <f>"Judson, Ashley (233839)"</f>
        <v>Judson, Ashley (233839)</v>
      </c>
      <c r="C42" t="str">
        <f>"104419"</f>
        <v>104419</v>
      </c>
      <c r="D42" t="str">
        <f>"615.5"</f>
        <v>615.5</v>
      </c>
      <c r="E42" t="str">
        <f>"611.8"</f>
        <v>611.8</v>
      </c>
      <c r="F42" t="str">
        <f>"602.1"</f>
        <v>602.1</v>
      </c>
      <c r="G42" t="str">
        <f>"1,829.4"</f>
        <v>1,829.4</v>
      </c>
    </row>
    <row r="43" spans="1:7" x14ac:dyDescent="0.35">
      <c r="A43" s="2">
        <v>39</v>
      </c>
      <c r="B43" t="str">
        <f>"Freeman, Holly (278235)"</f>
        <v>Freeman, Holly (278235)</v>
      </c>
      <c r="C43" t="str">
        <f>"1042268"</f>
        <v>1042268</v>
      </c>
      <c r="D43" t="str">
        <f>"607.1"</f>
        <v>607.1</v>
      </c>
      <c r="E43" t="str">
        <f>"608.4"</f>
        <v>608.4</v>
      </c>
      <c r="F43" t="str">
        <f>"612.8"</f>
        <v>612.8</v>
      </c>
      <c r="G43" t="str">
        <f>"1,828.3"</f>
        <v>1,828.3</v>
      </c>
    </row>
    <row r="44" spans="1:7" x14ac:dyDescent="0.35">
      <c r="A44" s="2">
        <v>40</v>
      </c>
      <c r="B44" t="str">
        <f>"Schammel, Olivia (283656)"</f>
        <v>Schammel, Olivia (283656)</v>
      </c>
      <c r="C44" t="str">
        <f>"1038925"</f>
        <v>1038925</v>
      </c>
      <c r="D44" t="str">
        <f>"613.2"</f>
        <v>613.2</v>
      </c>
      <c r="E44" t="str">
        <f>"609.7"</f>
        <v>609.7</v>
      </c>
      <c r="F44" t="str">
        <f>"605.2"</f>
        <v>605.2</v>
      </c>
      <c r="G44" t="str">
        <f>"1,828.1"</f>
        <v>1,828.1</v>
      </c>
    </row>
    <row r="45" spans="1:7" x14ac:dyDescent="0.35">
      <c r="A45" s="2">
        <v>41</v>
      </c>
      <c r="B45" t="str">
        <f>"Sralla, Briley (300156)"</f>
        <v>Sralla, Briley (300156)</v>
      </c>
      <c r="C45" t="str">
        <f>"1038825"</f>
        <v>1038825</v>
      </c>
      <c r="D45" t="str">
        <f>"609.7"</f>
        <v>609.7</v>
      </c>
      <c r="E45" t="str">
        <f>"605.9"</f>
        <v>605.9</v>
      </c>
      <c r="F45" t="str">
        <f>"611.7"</f>
        <v>611.7</v>
      </c>
      <c r="G45" t="str">
        <f>"1,827.3"</f>
        <v>1,827.3</v>
      </c>
    </row>
    <row r="46" spans="1:7" x14ac:dyDescent="0.35">
      <c r="A46" s="2">
        <v>42</v>
      </c>
      <c r="B46" t="str">
        <f>"Folsom, Sarah (371145)"</f>
        <v>Folsom, Sarah (371145)</v>
      </c>
      <c r="C46" t="str">
        <f>"1043403"</f>
        <v>1043403</v>
      </c>
      <c r="D46" t="str">
        <f>"613.0"</f>
        <v>613.0</v>
      </c>
      <c r="E46" t="str">
        <f>"606.0"</f>
        <v>606.0</v>
      </c>
      <c r="F46" t="str">
        <f>"608.2"</f>
        <v>608.2</v>
      </c>
      <c r="G46" t="str">
        <f>"1,827.2"</f>
        <v>1,827.2</v>
      </c>
    </row>
    <row r="47" spans="1:7" x14ac:dyDescent="0.35">
      <c r="A47" s="2">
        <v>43</v>
      </c>
      <c r="B47" t="str">
        <f>"Diamond, Regan (383400)"</f>
        <v>Diamond, Regan (383400)</v>
      </c>
      <c r="C47" t="str">
        <f>"1042588"</f>
        <v>1042588</v>
      </c>
      <c r="D47" t="str">
        <f>"605.4"</f>
        <v>605.4</v>
      </c>
      <c r="E47" t="str">
        <f>"612.5"</f>
        <v>612.5</v>
      </c>
      <c r="F47" t="str">
        <f>"608.2"</f>
        <v>608.2</v>
      </c>
      <c r="G47" t="str">
        <f>"1,826.1"</f>
        <v>1,826.1</v>
      </c>
    </row>
    <row r="48" spans="1:7" x14ac:dyDescent="0.35">
      <c r="A48" s="2">
        <v>44</v>
      </c>
      <c r="B48" t="str">
        <f>"Goebel, Kendall (316417)"</f>
        <v>Goebel, Kendall (316417)</v>
      </c>
      <c r="C48" t="str">
        <f>"1043413"</f>
        <v>1043413</v>
      </c>
      <c r="D48" t="str">
        <f>"609.6"</f>
        <v>609.6</v>
      </c>
      <c r="E48" t="str">
        <f>"608.2"</f>
        <v>608.2</v>
      </c>
      <c r="F48" t="str">
        <f>"606.5"</f>
        <v>606.5</v>
      </c>
      <c r="G48" t="str">
        <f>"1,824.3"</f>
        <v>1,824.3</v>
      </c>
    </row>
    <row r="49" spans="1:7" x14ac:dyDescent="0.35">
      <c r="A49" s="2">
        <v>45</v>
      </c>
      <c r="B49" t="str">
        <f>"Buck, Emily (262705)"</f>
        <v>Buck, Emily (262705)</v>
      </c>
      <c r="C49" t="str">
        <f>"1039200"</f>
        <v>1039200</v>
      </c>
      <c r="D49" t="str">
        <f>"611.2"</f>
        <v>611.2</v>
      </c>
      <c r="E49" t="str">
        <f>"608.4"</f>
        <v>608.4</v>
      </c>
      <c r="F49" t="str">
        <f>"604.3"</f>
        <v>604.3</v>
      </c>
      <c r="G49" t="str">
        <f>"1,823.9"</f>
        <v>1,823.9</v>
      </c>
    </row>
    <row r="50" spans="1:7" x14ac:dyDescent="0.35">
      <c r="A50" s="2">
        <v>46</v>
      </c>
      <c r="B50" t="str">
        <f>"Cruz, Sophia (330522)"</f>
        <v>Cruz, Sophia (330522)</v>
      </c>
      <c r="C50" t="str">
        <f>"1041122"</f>
        <v>1041122</v>
      </c>
      <c r="D50" t="str">
        <f>"609.3"</f>
        <v>609.3</v>
      </c>
      <c r="E50" t="str">
        <f>"604.0"</f>
        <v>604.0</v>
      </c>
      <c r="F50" t="str">
        <f>"610.4"</f>
        <v>610.4</v>
      </c>
      <c r="G50" t="str">
        <f>"1,823.7"</f>
        <v>1,823.7</v>
      </c>
    </row>
    <row r="51" spans="1:7" x14ac:dyDescent="0.35">
      <c r="A51" s="2">
        <v>47</v>
      </c>
      <c r="B51" t="str">
        <f>"Morrow, Gabriela (225359)"</f>
        <v>Morrow, Gabriela (225359)</v>
      </c>
      <c r="C51" t="str">
        <f>"1039982"</f>
        <v>1039982</v>
      </c>
      <c r="D51" t="str">
        <f>"609.7"</f>
        <v>609.7</v>
      </c>
      <c r="E51" t="str">
        <f>"605.9"</f>
        <v>605.9</v>
      </c>
      <c r="F51" t="str">
        <f>"608.0"</f>
        <v>608.0</v>
      </c>
      <c r="G51" t="str">
        <f>"1,823.6"</f>
        <v>1,823.6</v>
      </c>
    </row>
    <row r="52" spans="1:7" x14ac:dyDescent="0.35">
      <c r="A52" s="2">
        <v>48</v>
      </c>
      <c r="B52" t="str">
        <f>"Robinson, Aleandra (400429)"</f>
        <v>Robinson, Aleandra (400429)</v>
      </c>
      <c r="C52" t="str">
        <f>"1044607"</f>
        <v>1044607</v>
      </c>
      <c r="D52" t="str">
        <f>"610.3"</f>
        <v>610.3</v>
      </c>
      <c r="E52" t="str">
        <f>"604.3"</f>
        <v>604.3</v>
      </c>
      <c r="F52" t="str">
        <f>"606.6"</f>
        <v>606.6</v>
      </c>
      <c r="G52" t="str">
        <f>"1,821.2"</f>
        <v>1,821.2</v>
      </c>
    </row>
    <row r="53" spans="1:7" x14ac:dyDescent="0.35">
      <c r="A53" s="2">
        <v>49</v>
      </c>
      <c r="B53" t="str">
        <f>"Morrison, Skylar (312239)"</f>
        <v>Morrison, Skylar (312239)</v>
      </c>
      <c r="C53" t="str">
        <f>"1041145"</f>
        <v>1041145</v>
      </c>
      <c r="D53" t="str">
        <f>"605.4"</f>
        <v>605.4</v>
      </c>
      <c r="E53" t="str">
        <f>"605.1"</f>
        <v>605.1</v>
      </c>
      <c r="F53" t="str">
        <f>"610.5"</f>
        <v>610.5</v>
      </c>
      <c r="G53" t="str">
        <f>"1,821.0"</f>
        <v>1,821.0</v>
      </c>
    </row>
    <row r="54" spans="1:7" x14ac:dyDescent="0.35">
      <c r="A54" s="2">
        <v>50</v>
      </c>
      <c r="B54" t="str">
        <f>"Martin, Caroline  (348255)"</f>
        <v>Martin, Caroline  (348255)</v>
      </c>
      <c r="C54" t="str">
        <f>"1042191"</f>
        <v>1042191</v>
      </c>
      <c r="D54" t="str">
        <f>"612.1"</f>
        <v>612.1</v>
      </c>
      <c r="E54" t="str">
        <f>"599.1"</f>
        <v>599.1</v>
      </c>
      <c r="F54" t="str">
        <f>"609.2"</f>
        <v>609.2</v>
      </c>
      <c r="G54" t="str">
        <f>"1,820.4"</f>
        <v>1,820.4</v>
      </c>
    </row>
    <row r="55" spans="1:7" x14ac:dyDescent="0.35">
      <c r="A55" s="2">
        <v>51</v>
      </c>
      <c r="B55" t="str">
        <f>"Cartagena, Christina (400407)"</f>
        <v>Cartagena, Christina (400407)</v>
      </c>
      <c r="C55" t="str">
        <f>"1044613"</f>
        <v>1044613</v>
      </c>
      <c r="D55" t="str">
        <f>"603.0"</f>
        <v>603.0</v>
      </c>
      <c r="E55" t="str">
        <f>"602.1"</f>
        <v>602.1</v>
      </c>
      <c r="F55" t="str">
        <f>"615.0"</f>
        <v>615.0</v>
      </c>
      <c r="G55" t="str">
        <f>"1,820.1"</f>
        <v>1,820.1</v>
      </c>
    </row>
    <row r="56" spans="1:7" x14ac:dyDescent="0.35">
      <c r="A56" s="2">
        <v>52</v>
      </c>
      <c r="B56" t="str">
        <f>"Anderson, Aubrey (343830)"</f>
        <v>Anderson, Aubrey (343830)</v>
      </c>
      <c r="C56" t="str">
        <f>"1040994"</f>
        <v>1040994</v>
      </c>
      <c r="D56" t="str">
        <f>"606.8"</f>
        <v>606.8</v>
      </c>
      <c r="E56" t="str">
        <f>"602.5"</f>
        <v>602.5</v>
      </c>
      <c r="F56" t="str">
        <f>"610.1"</f>
        <v>610.1</v>
      </c>
      <c r="G56" t="str">
        <f>"1,819.4"</f>
        <v>1,819.4</v>
      </c>
    </row>
    <row r="57" spans="1:7" x14ac:dyDescent="0.35">
      <c r="A57" s="2">
        <v>53</v>
      </c>
      <c r="B57" t="str">
        <f>"Downum, Annie (281752)"</f>
        <v>Downum, Annie (281752)</v>
      </c>
      <c r="C57" t="str">
        <f>"1044206"</f>
        <v>1044206</v>
      </c>
      <c r="D57" t="str">
        <f>"602.6"</f>
        <v>602.6</v>
      </c>
      <c r="E57" t="str">
        <f>"608.2"</f>
        <v>608.2</v>
      </c>
      <c r="F57" t="str">
        <f>"608.5"</f>
        <v>608.5</v>
      </c>
      <c r="G57" t="str">
        <f>"1,819.3"</f>
        <v>1,819.3</v>
      </c>
    </row>
    <row r="58" spans="1:7" x14ac:dyDescent="0.35">
      <c r="A58" s="2">
        <v>54</v>
      </c>
      <c r="B58" t="str">
        <f>"Zych, Gabriela, USA (323301)"</f>
        <v>Zych, Gabriela, USA (323301)</v>
      </c>
      <c r="C58" t="str">
        <f>"1042493"</f>
        <v>1042493</v>
      </c>
      <c r="D58" t="str">
        <f>"606.8"</f>
        <v>606.8</v>
      </c>
      <c r="E58" t="str">
        <f>"606.1"</f>
        <v>606.1</v>
      </c>
      <c r="F58" t="str">
        <f>"605.5"</f>
        <v>605.5</v>
      </c>
      <c r="G58" t="str">
        <f>"1,818.4"</f>
        <v>1,818.4</v>
      </c>
    </row>
    <row r="59" spans="1:7" x14ac:dyDescent="0.35">
      <c r="A59" s="2">
        <v>55</v>
      </c>
      <c r="B59" t="str">
        <f>"Pereira, Emma (303090)"</f>
        <v>Pereira, Emma (303090)</v>
      </c>
      <c r="C59" t="str">
        <f>"1037679"</f>
        <v>1037679</v>
      </c>
      <c r="D59" t="str">
        <f>"608.5"</f>
        <v>608.5</v>
      </c>
      <c r="E59" t="str">
        <f>"604.0"</f>
        <v>604.0</v>
      </c>
      <c r="F59" t="str">
        <f>"604.2"</f>
        <v>604.2</v>
      </c>
      <c r="G59" t="str">
        <f>"1,816.7"</f>
        <v>1,816.7</v>
      </c>
    </row>
    <row r="60" spans="1:7" x14ac:dyDescent="0.35">
      <c r="A60" s="2">
        <v>56</v>
      </c>
      <c r="B60" t="str">
        <f>"Fedora, Marissa  (339872)"</f>
        <v>Fedora, Marissa  (339872)</v>
      </c>
      <c r="C60" t="str">
        <f>"1042794"</f>
        <v>1042794</v>
      </c>
      <c r="D60" t="str">
        <f>"601.4"</f>
        <v>601.4</v>
      </c>
      <c r="E60" t="str">
        <f>"602.4"</f>
        <v>602.4</v>
      </c>
      <c r="F60" t="str">
        <f>"607.7"</f>
        <v>607.7</v>
      </c>
      <c r="G60" t="str">
        <f>"1,811.5"</f>
        <v>1,811.5</v>
      </c>
    </row>
    <row r="61" spans="1:7" x14ac:dyDescent="0.35">
      <c r="A61" s="2">
        <v>57</v>
      </c>
      <c r="B61" t="str">
        <f>"Riewe, Kayla (336868)"</f>
        <v>Riewe, Kayla (336868)</v>
      </c>
      <c r="C61" t="str">
        <f>"1040898"</f>
        <v>1040898</v>
      </c>
      <c r="D61" t="str">
        <f>"603.9"</f>
        <v>603.9</v>
      </c>
      <c r="E61" t="str">
        <f>"600.6"</f>
        <v>600.6</v>
      </c>
      <c r="F61" t="str">
        <f>"604.5"</f>
        <v>604.5</v>
      </c>
      <c r="G61" t="str">
        <f>"1,809.0"</f>
        <v>1,809.0</v>
      </c>
    </row>
    <row r="62" spans="1:7" x14ac:dyDescent="0.35">
      <c r="A62" s="2">
        <v>58</v>
      </c>
      <c r="B62" t="str">
        <f>"Czernik , Julia  (372309)"</f>
        <v>Czernik , Julia  (372309)</v>
      </c>
      <c r="C62" t="str">
        <f>"1043296"</f>
        <v>1043296</v>
      </c>
      <c r="D62" t="str">
        <f>"606.5"</f>
        <v>606.5</v>
      </c>
      <c r="E62" t="str">
        <f>"598.6"</f>
        <v>598.6</v>
      </c>
      <c r="F62" t="str">
        <f>"603.1"</f>
        <v>603.1</v>
      </c>
      <c r="G62" t="str">
        <f>"1,808.2"</f>
        <v>1,808.2</v>
      </c>
    </row>
    <row r="63" spans="1:7" x14ac:dyDescent="0.35">
      <c r="A63" s="2">
        <v>59</v>
      </c>
      <c r="B63" t="str">
        <f>"Arlington, Ashton (348397)"</f>
        <v>Arlington, Ashton (348397)</v>
      </c>
      <c r="C63" t="str">
        <f>"1042194"</f>
        <v>1042194</v>
      </c>
      <c r="D63" t="str">
        <f>"602.5"</f>
        <v>602.5</v>
      </c>
      <c r="E63" t="str">
        <f>"602.9"</f>
        <v>602.9</v>
      </c>
      <c r="F63" t="str">
        <f>"601.9"</f>
        <v>601.9</v>
      </c>
      <c r="G63" t="str">
        <f>"1,807.3"</f>
        <v>1,807.3</v>
      </c>
    </row>
    <row r="64" spans="1:7" x14ac:dyDescent="0.35">
      <c r="A64" s="2">
        <v>60</v>
      </c>
      <c r="B64" t="str">
        <f>"Larson, Makenzie (332586)"</f>
        <v>Larson, Makenzie (332586)</v>
      </c>
      <c r="C64" t="str">
        <f>"1041055"</f>
        <v>1041055</v>
      </c>
      <c r="D64" t="str">
        <f>"602.3"</f>
        <v>602.3</v>
      </c>
      <c r="E64" t="str">
        <f>"597.3"</f>
        <v>597.3</v>
      </c>
      <c r="F64" t="str">
        <f>"605.1"</f>
        <v>605.1</v>
      </c>
      <c r="G64" t="str">
        <f>"1,804.7"</f>
        <v>1,804.7</v>
      </c>
    </row>
    <row r="65" spans="1:7" x14ac:dyDescent="0.35">
      <c r="A65" s="2">
        <v>61</v>
      </c>
      <c r="B65" t="str">
        <f>"Hancock, Sarah (375001)"</f>
        <v>Hancock, Sarah (375001)</v>
      </c>
      <c r="C65" t="str">
        <f>"1044560"</f>
        <v>1044560</v>
      </c>
      <c r="D65" t="str">
        <f>"598.2"</f>
        <v>598.2</v>
      </c>
      <c r="E65" t="str">
        <f>"604.7"</f>
        <v>604.7</v>
      </c>
      <c r="F65" t="str">
        <f>"601.6"</f>
        <v>601.6</v>
      </c>
      <c r="G65" t="str">
        <f>"1,804.5"</f>
        <v>1,804.5</v>
      </c>
    </row>
    <row r="66" spans="1:7" x14ac:dyDescent="0.35">
      <c r="A66" s="2">
        <v>62</v>
      </c>
      <c r="B66" t="str">
        <f>"Blankenship, Jordan  (234645)"</f>
        <v>Blankenship, Jordan  (234645)</v>
      </c>
      <c r="C66" t="str">
        <f>"103129"</f>
        <v>103129</v>
      </c>
      <c r="D66" t="str">
        <f>"599.0"</f>
        <v>599.0</v>
      </c>
      <c r="E66" t="str">
        <f>"605.2"</f>
        <v>605.2</v>
      </c>
      <c r="F66" t="str">
        <f>"599.3"</f>
        <v>599.3</v>
      </c>
      <c r="G66" t="str">
        <f>"1,803.5"</f>
        <v>1,803.5</v>
      </c>
    </row>
    <row r="67" spans="1:7" x14ac:dyDescent="0.35">
      <c r="A67" s="2">
        <v>63</v>
      </c>
      <c r="B67" t="str">
        <f>"Stanton, Emma James (362008)"</f>
        <v>Stanton, Emma James (362008)</v>
      </c>
      <c r="C67" t="str">
        <f>"1038201"</f>
        <v>1038201</v>
      </c>
      <c r="D67" t="str">
        <f>"602.8"</f>
        <v>602.8</v>
      </c>
      <c r="E67" t="str">
        <f>"594.5"</f>
        <v>594.5</v>
      </c>
      <c r="F67" t="str">
        <f>"606.1"</f>
        <v>606.1</v>
      </c>
      <c r="G67" t="str">
        <f>"1,803.4"</f>
        <v>1,803.4</v>
      </c>
    </row>
    <row r="68" spans="1:7" x14ac:dyDescent="0.35">
      <c r="A68" s="2">
        <v>64</v>
      </c>
      <c r="B68" t="str">
        <f>"Douglas, Maisyn  (332066)"</f>
        <v>Douglas, Maisyn  (332066)</v>
      </c>
      <c r="C68" t="str">
        <f>"1040803"</f>
        <v>1040803</v>
      </c>
      <c r="D68" t="str">
        <f>"601.6"</f>
        <v>601.6</v>
      </c>
      <c r="E68" t="str">
        <f>"605.2"</f>
        <v>605.2</v>
      </c>
      <c r="F68" t="str">
        <f>"596.4"</f>
        <v>596.4</v>
      </c>
      <c r="G68" t="str">
        <f>"1,803.2"</f>
        <v>1,803.2</v>
      </c>
    </row>
    <row r="69" spans="1:7" x14ac:dyDescent="0.35">
      <c r="A69" s="2">
        <v>65</v>
      </c>
      <c r="B69" t="str">
        <f>"Allison, Courtney (323909)"</f>
        <v>Allison, Courtney (323909)</v>
      </c>
      <c r="C69" t="str">
        <f>"1043593"</f>
        <v>1043593</v>
      </c>
      <c r="D69" t="str">
        <f>"592.1"</f>
        <v>592.1</v>
      </c>
      <c r="E69" t="str">
        <f>"603.1"</f>
        <v>603.1</v>
      </c>
      <c r="F69" t="str">
        <f>"601.7"</f>
        <v>601.7</v>
      </c>
      <c r="G69" t="str">
        <f>"1,796.9"</f>
        <v>1,796.9</v>
      </c>
    </row>
    <row r="70" spans="1:7" x14ac:dyDescent="0.35">
      <c r="A70" s="2">
        <v>66</v>
      </c>
      <c r="B70" t="str">
        <f>"Dufresne, Hannah (361674)"</f>
        <v>Dufresne, Hannah (361674)</v>
      </c>
      <c r="C70" t="str">
        <f>"1043433"</f>
        <v>1043433</v>
      </c>
      <c r="D70" t="str">
        <f>"593.0"</f>
        <v>593.0</v>
      </c>
      <c r="E70" t="str">
        <f>"603.0"</f>
        <v>603.0</v>
      </c>
      <c r="F70" t="str">
        <f>"599.6"</f>
        <v>599.6</v>
      </c>
      <c r="G70" t="str">
        <f>"1,795.6"</f>
        <v>1,795.6</v>
      </c>
    </row>
    <row r="71" spans="1:7" x14ac:dyDescent="0.35">
      <c r="A71" s="2">
        <v>67</v>
      </c>
      <c r="B71" t="str">
        <f>"Antwiler, Addison (283661)"</f>
        <v>Antwiler, Addison (283661)</v>
      </c>
      <c r="C71" t="str">
        <f>"1043291"</f>
        <v>1043291</v>
      </c>
      <c r="D71" t="str">
        <f>"604.2"</f>
        <v>604.2</v>
      </c>
      <c r="E71" t="str">
        <f>"586.0"</f>
        <v>586.0</v>
      </c>
      <c r="F71" t="str">
        <f>"604.8"</f>
        <v>604.8</v>
      </c>
      <c r="G71" t="str">
        <f>"1,795.0"</f>
        <v>1,795.0</v>
      </c>
    </row>
    <row r="72" spans="1:7" x14ac:dyDescent="0.35">
      <c r="A72" s="2">
        <v>68</v>
      </c>
      <c r="B72" t="str">
        <f>"Boozer, Elisa (341295)"</f>
        <v>Boozer, Elisa (341295)</v>
      </c>
      <c r="C72" t="str">
        <f>"1042295"</f>
        <v>1042295</v>
      </c>
      <c r="D72" t="str">
        <f>"593.5"</f>
        <v>593.5</v>
      </c>
      <c r="E72" t="str">
        <f>"598.8"</f>
        <v>598.8</v>
      </c>
      <c r="F72" t="str">
        <f>"602.5"</f>
        <v>602.5</v>
      </c>
      <c r="G72" t="str">
        <f>"1,794.8"</f>
        <v>1,794.8</v>
      </c>
    </row>
    <row r="73" spans="1:7" x14ac:dyDescent="0.35">
      <c r="A73" s="2">
        <v>69</v>
      </c>
      <c r="B73" t="str">
        <f>"Slaughter, Kaylynn (291415)"</f>
        <v>Slaughter, Kaylynn (291415)</v>
      </c>
      <c r="C73" t="str">
        <f>"104360"</f>
        <v>104360</v>
      </c>
      <c r="D73" t="str">
        <f>"589.8"</f>
        <v>589.8</v>
      </c>
      <c r="E73" t="str">
        <f>"604.7"</f>
        <v>604.7</v>
      </c>
      <c r="F73" t="str">
        <f>"599.9"</f>
        <v>599.9</v>
      </c>
      <c r="G73" t="str">
        <f>"1,794.4"</f>
        <v>1,794.4</v>
      </c>
    </row>
    <row r="74" spans="1:7" x14ac:dyDescent="0.35">
      <c r="A74" s="2">
        <v>70</v>
      </c>
      <c r="B74" t="str">
        <f>"Misra, Anoushka (400423)"</f>
        <v>Misra, Anoushka (400423)</v>
      </c>
      <c r="C74" t="str">
        <f>"1042158"</f>
        <v>1042158</v>
      </c>
      <c r="D74" t="str">
        <f>"593.4"</f>
        <v>593.4</v>
      </c>
      <c r="E74" t="str">
        <f>"600.7"</f>
        <v>600.7</v>
      </c>
      <c r="F74" t="str">
        <f>"598.1"</f>
        <v>598.1</v>
      </c>
      <c r="G74" t="str">
        <f>"1,792.2"</f>
        <v>1,792.2</v>
      </c>
    </row>
    <row r="75" spans="1:7" x14ac:dyDescent="0.35">
      <c r="A75" s="2">
        <v>71</v>
      </c>
      <c r="B75" t="str">
        <f>"Stapp, Leah (322084)"</f>
        <v>Stapp, Leah (322084)</v>
      </c>
      <c r="C75" t="str">
        <f>"1042195"</f>
        <v>1042195</v>
      </c>
      <c r="D75" t="str">
        <f>"597.2"</f>
        <v>597.2</v>
      </c>
      <c r="E75" t="str">
        <f>"588.4"</f>
        <v>588.4</v>
      </c>
      <c r="F75" t="str">
        <f>"603.7"</f>
        <v>603.7</v>
      </c>
      <c r="G75" t="str">
        <f>"1,789.3"</f>
        <v>1,789.3</v>
      </c>
    </row>
    <row r="76" spans="1:7" x14ac:dyDescent="0.35">
      <c r="A76" s="2">
        <v>72</v>
      </c>
      <c r="B76" t="str">
        <f>"Kiker, Hannah, USA (326812)"</f>
        <v>Kiker, Hannah, USA (326812)</v>
      </c>
      <c r="C76" t="str">
        <f>"1043336"</f>
        <v>1043336</v>
      </c>
      <c r="D76" t="str">
        <f>"588.5"</f>
        <v>588.5</v>
      </c>
      <c r="E76" t="str">
        <f>"605.0"</f>
        <v>605.0</v>
      </c>
      <c r="F76" t="str">
        <f>"595.2"</f>
        <v>595.2</v>
      </c>
      <c r="G76" t="str">
        <f>"1,788.7"</f>
        <v>1,788.7</v>
      </c>
    </row>
    <row r="77" spans="1:7" x14ac:dyDescent="0.35">
      <c r="A77" s="2">
        <v>73</v>
      </c>
      <c r="B77" t="str">
        <f>"Hall, Martha (78873)"</f>
        <v>Hall, Martha (78873)</v>
      </c>
      <c r="C77" t="str">
        <f>"113620"</f>
        <v>113620</v>
      </c>
      <c r="D77" t="str">
        <f>"590.2"</f>
        <v>590.2</v>
      </c>
      <c r="E77" t="str">
        <f>"596.4"</f>
        <v>596.4</v>
      </c>
      <c r="F77" t="str">
        <f>"601.3"</f>
        <v>601.3</v>
      </c>
      <c r="G77" t="str">
        <f>"1,787.9"</f>
        <v>1,787.9</v>
      </c>
    </row>
    <row r="78" spans="1:7" x14ac:dyDescent="0.35">
      <c r="A78" s="2">
        <v>74</v>
      </c>
      <c r="B78" t="str">
        <f>"Weatherford, Brooklynne (355341)"</f>
        <v>Weatherford, Brooklynne (355341)</v>
      </c>
      <c r="C78" t="str">
        <f>"1043335"</f>
        <v>1043335</v>
      </c>
      <c r="D78" t="str">
        <f>"591.1"</f>
        <v>591.1</v>
      </c>
      <c r="E78" t="str">
        <f>"590.6"</f>
        <v>590.6</v>
      </c>
      <c r="F78" t="str">
        <f>"603.6"</f>
        <v>603.6</v>
      </c>
      <c r="G78" t="str">
        <f>"1,785.3"</f>
        <v>1,785.3</v>
      </c>
    </row>
    <row r="79" spans="1:7" x14ac:dyDescent="0.35">
      <c r="A79" s="2">
        <v>75</v>
      </c>
      <c r="B79" t="str">
        <f>"Nickerson, Annania, USA (323298)"</f>
        <v>Nickerson, Annania, USA (323298)</v>
      </c>
      <c r="C79" t="str">
        <f>"1042489"</f>
        <v>1042489</v>
      </c>
      <c r="D79" t="str">
        <f>"582.6"</f>
        <v>582.6</v>
      </c>
      <c r="E79" t="str">
        <f>"602.4"</f>
        <v>602.4</v>
      </c>
      <c r="F79" t="str">
        <f>"599.1"</f>
        <v>599.1</v>
      </c>
      <c r="G79" t="str">
        <f>"1,784.1"</f>
        <v>1,784.1</v>
      </c>
    </row>
    <row r="80" spans="1:7" x14ac:dyDescent="0.35">
      <c r="A80" s="2">
        <v>76</v>
      </c>
      <c r="B80" t="str">
        <f>"Stuart, Meredith (316340)"</f>
        <v>Stuart, Meredith (316340)</v>
      </c>
      <c r="C80" t="str">
        <f>"1040686"</f>
        <v>1040686</v>
      </c>
      <c r="D80" t="str">
        <f>"594.8"</f>
        <v>594.8</v>
      </c>
      <c r="E80" t="str">
        <f>"585.1"</f>
        <v>585.1</v>
      </c>
      <c r="F80" t="str">
        <f>"602.6"</f>
        <v>602.6</v>
      </c>
      <c r="G80" t="str">
        <f>"1,782.5"</f>
        <v>1,782.5</v>
      </c>
    </row>
    <row r="81" spans="1:7" x14ac:dyDescent="0.35">
      <c r="A81" s="2">
        <v>77</v>
      </c>
      <c r="B81" t="str">
        <f>"Miller, Lily (312544)"</f>
        <v>Miller, Lily (312544)</v>
      </c>
      <c r="C81" t="str">
        <f>"1041294"</f>
        <v>1041294</v>
      </c>
      <c r="D81" t="str">
        <f>"588.0"</f>
        <v>588.0</v>
      </c>
      <c r="E81" t="str">
        <f>"593.8"</f>
        <v>593.8</v>
      </c>
      <c r="F81" t="str">
        <f>"597.6"</f>
        <v>597.6</v>
      </c>
      <c r="G81" t="str">
        <f>"1,779.4"</f>
        <v>1,779.4</v>
      </c>
    </row>
    <row r="82" spans="1:7" x14ac:dyDescent="0.35">
      <c r="A82" s="2">
        <v>78</v>
      </c>
      <c r="B82" t="str">
        <f>"Patterson , Grace (374669)"</f>
        <v>Patterson , Grace (374669)</v>
      </c>
      <c r="C82" t="str">
        <f>"1043703"</f>
        <v>1043703</v>
      </c>
      <c r="D82" t="str">
        <f>"592.3"</f>
        <v>592.3</v>
      </c>
      <c r="E82" t="str">
        <f>"589.4"</f>
        <v>589.4</v>
      </c>
      <c r="F82" t="str">
        <f>"595.8"</f>
        <v>595.8</v>
      </c>
      <c r="G82" t="str">
        <f>"1,777.5"</f>
        <v>1,777.5</v>
      </c>
    </row>
    <row r="83" spans="1:7" x14ac:dyDescent="0.35">
      <c r="A83" s="2">
        <v>79</v>
      </c>
      <c r="B83" t="str">
        <f>"Rafalski, Ellie  (352255)"</f>
        <v>Rafalski, Ellie  (352255)</v>
      </c>
      <c r="C83" t="str">
        <f>"1043226"</f>
        <v>1043226</v>
      </c>
      <c r="D83" t="str">
        <f>"593.8"</f>
        <v>593.8</v>
      </c>
      <c r="E83" t="str">
        <f>"587.2"</f>
        <v>587.2</v>
      </c>
      <c r="F83" t="str">
        <f>"596.2"</f>
        <v>596.2</v>
      </c>
      <c r="G83" t="str">
        <f>"1,777.2"</f>
        <v>1,777.2</v>
      </c>
    </row>
    <row r="84" spans="1:7" x14ac:dyDescent="0.35">
      <c r="A84" s="2">
        <v>80</v>
      </c>
      <c r="B84" t="str">
        <f>"Sorensen, Dallas (330520)"</f>
        <v>Sorensen, Dallas (330520)</v>
      </c>
      <c r="C84" t="str">
        <f>"1041184"</f>
        <v>1041184</v>
      </c>
      <c r="D84" t="str">
        <f>"593.7"</f>
        <v>593.7</v>
      </c>
      <c r="E84" t="str">
        <f>"591.2"</f>
        <v>591.2</v>
      </c>
      <c r="F84" t="str">
        <f>"591.1"</f>
        <v>591.1</v>
      </c>
      <c r="G84" t="str">
        <f>"1,776.0"</f>
        <v>1,776.0</v>
      </c>
    </row>
    <row r="85" spans="1:7" x14ac:dyDescent="0.35">
      <c r="A85" s="2">
        <v>81</v>
      </c>
      <c r="B85" t="str">
        <f>"Simpson, Martha (374768)"</f>
        <v>Simpson, Martha (374768)</v>
      </c>
      <c r="C85" t="str">
        <f>"1043546"</f>
        <v>1043546</v>
      </c>
      <c r="D85" t="str">
        <f>"586.3"</f>
        <v>586.3</v>
      </c>
      <c r="E85" t="str">
        <f>"589.1"</f>
        <v>589.1</v>
      </c>
      <c r="F85" t="str">
        <f>"594.8"</f>
        <v>594.8</v>
      </c>
      <c r="G85" t="str">
        <f>"1,770.2"</f>
        <v>1,770.2</v>
      </c>
    </row>
    <row r="86" spans="1:7" x14ac:dyDescent="0.35">
      <c r="A86" s="2">
        <v>82</v>
      </c>
      <c r="B86" t="str">
        <f>"Torrence, Allison (355601)"</f>
        <v>Torrence, Allison (355601)</v>
      </c>
      <c r="C86" t="str">
        <f>"1040639"</f>
        <v>1040639</v>
      </c>
      <c r="D86" t="str">
        <f>"583.2"</f>
        <v>583.2</v>
      </c>
      <c r="E86" t="str">
        <f>"590.0"</f>
        <v>590.0</v>
      </c>
      <c r="F86" t="str">
        <f>"595.1"</f>
        <v>595.1</v>
      </c>
      <c r="G86" t="str">
        <f>"1,768.3"</f>
        <v>1,768.3</v>
      </c>
    </row>
    <row r="87" spans="1:7" x14ac:dyDescent="0.35">
      <c r="A87" s="2">
        <v>83</v>
      </c>
      <c r="B87" t="str">
        <f>"Dobkins, Kindolyn (300578)"</f>
        <v>Dobkins, Kindolyn (300578)</v>
      </c>
      <c r="C87" t="str">
        <f>"1038007"</f>
        <v>1038007</v>
      </c>
      <c r="D87" t="str">
        <f>"578.6"</f>
        <v>578.6</v>
      </c>
      <c r="E87" t="str">
        <f>"595.2"</f>
        <v>595.2</v>
      </c>
      <c r="F87" t="str">
        <f>"592.2"</f>
        <v>592.2</v>
      </c>
      <c r="G87" t="str">
        <f>"1,766.0"</f>
        <v>1,766.0</v>
      </c>
    </row>
    <row r="88" spans="1:7" x14ac:dyDescent="0.35">
      <c r="A88" s="2">
        <v>84</v>
      </c>
      <c r="B88" t="str">
        <f>"Crudgington, LeeAnna (263134)"</f>
        <v>Crudgington, LeeAnna (263134)</v>
      </c>
      <c r="C88" t="str">
        <f>"103603"</f>
        <v>103603</v>
      </c>
      <c r="D88" t="str">
        <f>"606.7"</f>
        <v>606.7</v>
      </c>
      <c r="E88" t="str">
        <f>"542.7"</f>
        <v>542.7</v>
      </c>
      <c r="F88" t="str">
        <f>"616.4"</f>
        <v>616.4</v>
      </c>
      <c r="G88" t="str">
        <f>"1,765.8"</f>
        <v>1,765.8</v>
      </c>
    </row>
    <row r="89" spans="1:7" x14ac:dyDescent="0.35">
      <c r="A89" s="2">
        <v>85</v>
      </c>
      <c r="B89" t="str">
        <f>"Evans, Isabella  (327845)"</f>
        <v>Evans, Isabella  (327845)</v>
      </c>
      <c r="C89" t="str">
        <f>"1043599"</f>
        <v>1043599</v>
      </c>
      <c r="D89" t="str">
        <f>"585.3"</f>
        <v>585.3</v>
      </c>
      <c r="E89" t="str">
        <f>"590.9"</f>
        <v>590.9</v>
      </c>
      <c r="F89" t="str">
        <f>"586.8"</f>
        <v>586.8</v>
      </c>
      <c r="G89" t="str">
        <f>"1,763.0"</f>
        <v>1,763.0</v>
      </c>
    </row>
    <row r="90" spans="1:7" x14ac:dyDescent="0.35">
      <c r="A90" s="2">
        <v>86</v>
      </c>
      <c r="B90" t="str">
        <f>"Criddle, Savannah (382000)"</f>
        <v>Criddle, Savannah (382000)</v>
      </c>
      <c r="C90" t="str">
        <f>"1043870"</f>
        <v>1043870</v>
      </c>
      <c r="D90" t="str">
        <f>"586.2"</f>
        <v>586.2</v>
      </c>
      <c r="E90" t="str">
        <f>"594.5"</f>
        <v>594.5</v>
      </c>
      <c r="F90" t="str">
        <f>"581.5"</f>
        <v>581.5</v>
      </c>
      <c r="G90" t="str">
        <f>"1,762.2"</f>
        <v>1,762.2</v>
      </c>
    </row>
    <row r="91" spans="1:7" x14ac:dyDescent="0.35">
      <c r="A91" s="2">
        <v>87</v>
      </c>
      <c r="B91" t="str">
        <f>"Musgrave, Marissa (400426)"</f>
        <v>Musgrave, Marissa (400426)</v>
      </c>
      <c r="C91" t="str">
        <f>"1043863"</f>
        <v>1043863</v>
      </c>
      <c r="D91" t="str">
        <f>"577.0"</f>
        <v>577.0</v>
      </c>
      <c r="E91" t="str">
        <f>"589.4"</f>
        <v>589.4</v>
      </c>
      <c r="F91" t="str">
        <f>"595.5"</f>
        <v>595.5</v>
      </c>
      <c r="G91" t="str">
        <f>"1,761.9"</f>
        <v>1,761.9</v>
      </c>
    </row>
    <row r="92" spans="1:7" x14ac:dyDescent="0.35">
      <c r="A92" s="2">
        <v>88</v>
      </c>
      <c r="B92" t="str">
        <f>"Jones, Kiley (366649)"</f>
        <v>Jones, Kiley (366649)</v>
      </c>
      <c r="C92" t="str">
        <f>"1039457"</f>
        <v>1039457</v>
      </c>
      <c r="D92" t="str">
        <f>"567.1"</f>
        <v>567.1</v>
      </c>
      <c r="E92" t="str">
        <f>"594.4"</f>
        <v>594.4</v>
      </c>
      <c r="F92" t="str">
        <f>"599.3"</f>
        <v>599.3</v>
      </c>
      <c r="G92" t="str">
        <f>"1,760.8"</f>
        <v>1,760.8</v>
      </c>
    </row>
    <row r="93" spans="1:7" x14ac:dyDescent="0.35">
      <c r="A93" s="2">
        <v>89</v>
      </c>
      <c r="B93" t="str">
        <f>"Gamez, Bella (264168)"</f>
        <v>Gamez, Bella (264168)</v>
      </c>
      <c r="C93" t="str">
        <f>"1038684"</f>
        <v>1038684</v>
      </c>
      <c r="D93" t="str">
        <f>"591.2"</f>
        <v>591.2</v>
      </c>
      <c r="E93" t="str">
        <f>"592.9"</f>
        <v>592.9</v>
      </c>
      <c r="F93" t="str">
        <f>"573.7"</f>
        <v>573.7</v>
      </c>
      <c r="G93" t="str">
        <f>"1,757.8"</f>
        <v>1,757.8</v>
      </c>
    </row>
    <row r="94" spans="1:7" x14ac:dyDescent="0.35">
      <c r="A94" s="2">
        <v>90</v>
      </c>
      <c r="B94" t="str">
        <f>"Oberle, Jesse-Anne (377833)"</f>
        <v>Oberle, Jesse-Anne (377833)</v>
      </c>
      <c r="C94" t="str">
        <f>"1032215"</f>
        <v>1032215</v>
      </c>
      <c r="D94" t="str">
        <f>"588.1"</f>
        <v>588.1</v>
      </c>
      <c r="E94" t="str">
        <f>"575.8"</f>
        <v>575.8</v>
      </c>
      <c r="F94" t="str">
        <f>"591.6"</f>
        <v>591.6</v>
      </c>
      <c r="G94" t="str">
        <f>"1,755.5"</f>
        <v>1,755.5</v>
      </c>
    </row>
    <row r="95" spans="1:7" x14ac:dyDescent="0.35">
      <c r="A95" s="2">
        <v>91</v>
      </c>
      <c r="B95" t="str">
        <f>"Ayers, Gabrielle (371606)"</f>
        <v>Ayers, Gabrielle (371606)</v>
      </c>
      <c r="C95" t="str">
        <f>"1044346"</f>
        <v>1044346</v>
      </c>
      <c r="D95" t="str">
        <f>"582.7"</f>
        <v>582.7</v>
      </c>
      <c r="E95" t="str">
        <f>"587.0"</f>
        <v>587.0</v>
      </c>
      <c r="F95" t="str">
        <f>"585.7"</f>
        <v>585.7</v>
      </c>
      <c r="G95" t="str">
        <f>"1,755.4"</f>
        <v>1,755.4</v>
      </c>
    </row>
    <row r="96" spans="1:7" x14ac:dyDescent="0.35">
      <c r="A96" s="2">
        <v>92</v>
      </c>
      <c r="B96" t="str">
        <f>"de Jesus, Danjela Jordan (400410)"</f>
        <v>de Jesus, Danjela Jordan (400410)</v>
      </c>
      <c r="C96" t="str">
        <f>"1044457"</f>
        <v>1044457</v>
      </c>
      <c r="D96" t="str">
        <f>"584.0"</f>
        <v>584.0</v>
      </c>
      <c r="E96" t="str">
        <f>"581.5"</f>
        <v>581.5</v>
      </c>
      <c r="F96" t="str">
        <f>"587.6"</f>
        <v>587.6</v>
      </c>
      <c r="G96" t="str">
        <f>"1,753.1"</f>
        <v>1,753.1</v>
      </c>
    </row>
    <row r="97" spans="1:7" x14ac:dyDescent="0.35">
      <c r="A97" s="2">
        <v>93</v>
      </c>
      <c r="B97" t="str">
        <f>"Kalenza, Sophie (378865)"</f>
        <v>Kalenza, Sophie (378865)</v>
      </c>
      <c r="C97" t="str">
        <f>"1043646"</f>
        <v>1043646</v>
      </c>
      <c r="D97" t="str">
        <f>"578.3"</f>
        <v>578.3</v>
      </c>
      <c r="E97" t="str">
        <f>"586.2"</f>
        <v>586.2</v>
      </c>
      <c r="F97" t="str">
        <f>"579.4"</f>
        <v>579.4</v>
      </c>
      <c r="G97" t="str">
        <f>"1,743.9"</f>
        <v>1,743.9</v>
      </c>
    </row>
    <row r="98" spans="1:7" x14ac:dyDescent="0.35">
      <c r="A98" s="2">
        <v>94</v>
      </c>
      <c r="B98" t="str">
        <f>"Chutke, Aditi (394776)"</f>
        <v>Chutke, Aditi (394776)</v>
      </c>
      <c r="C98" t="str">
        <f>"1044549"</f>
        <v>1044549</v>
      </c>
      <c r="D98" t="str">
        <f>"573.6"</f>
        <v>573.6</v>
      </c>
      <c r="E98" t="str">
        <f>"584.2"</f>
        <v>584.2</v>
      </c>
      <c r="F98" t="str">
        <f>"584.3"</f>
        <v>584.3</v>
      </c>
      <c r="G98" t="str">
        <f>"1,742.1"</f>
        <v>1,742.1</v>
      </c>
    </row>
    <row r="99" spans="1:7" x14ac:dyDescent="0.35">
      <c r="A99" s="2">
        <v>95</v>
      </c>
      <c r="B99" t="str">
        <f>"Goitia, Emily (234631)"</f>
        <v>Goitia, Emily (234631)</v>
      </c>
      <c r="C99" t="str">
        <f>"1040463"</f>
        <v>1040463</v>
      </c>
      <c r="D99" t="str">
        <f>"588.3"</f>
        <v>588.3</v>
      </c>
      <c r="E99" t="str">
        <f>"576.9"</f>
        <v>576.9</v>
      </c>
      <c r="F99" t="str">
        <f>"576.7"</f>
        <v>576.7</v>
      </c>
      <c r="G99" t="str">
        <f>"1,741.9"</f>
        <v>1,741.9</v>
      </c>
    </row>
    <row r="100" spans="1:7" x14ac:dyDescent="0.35">
      <c r="A100" s="2">
        <v>96</v>
      </c>
      <c r="B100" t="str">
        <f>"Lee, Madelyn (320805)"</f>
        <v>Lee, Madelyn (320805)</v>
      </c>
      <c r="C100" t="str">
        <f>"1043651"</f>
        <v>1043651</v>
      </c>
      <c r="D100" t="str">
        <f>"576.8"</f>
        <v>576.8</v>
      </c>
      <c r="E100" t="str">
        <f>"583.1"</f>
        <v>583.1</v>
      </c>
      <c r="F100" t="str">
        <f>"575.6"</f>
        <v>575.6</v>
      </c>
      <c r="G100" t="str">
        <f>"1,735.5"</f>
        <v>1,735.5</v>
      </c>
    </row>
    <row r="101" spans="1:7" x14ac:dyDescent="0.35">
      <c r="A101" s="2">
        <v>97</v>
      </c>
      <c r="B101" t="str">
        <f>"Kovol, Ellen (350196)"</f>
        <v>Kovol, Ellen (350196)</v>
      </c>
      <c r="C101" t="str">
        <f>"1043671"</f>
        <v>1043671</v>
      </c>
      <c r="D101" t="str">
        <f>"580.5"</f>
        <v>580.5</v>
      </c>
      <c r="E101" t="str">
        <f>"573.1"</f>
        <v>573.1</v>
      </c>
      <c r="F101" t="str">
        <f>"579.9"</f>
        <v>579.9</v>
      </c>
      <c r="G101" t="str">
        <f>"1,733.5"</f>
        <v>1,733.5</v>
      </c>
    </row>
    <row r="102" spans="1:7" x14ac:dyDescent="0.35">
      <c r="A102" s="2">
        <v>98</v>
      </c>
      <c r="B102" t="str">
        <f>"Colon Vargas, Edian (391067)"</f>
        <v>Colon Vargas, Edian (391067)</v>
      </c>
      <c r="C102" t="str">
        <f>"1044580"</f>
        <v>1044580</v>
      </c>
      <c r="D102" t="str">
        <f>"567.7"</f>
        <v>567.7</v>
      </c>
      <c r="E102" t="str">
        <f>"576.7"</f>
        <v>576.7</v>
      </c>
      <c r="F102" t="str">
        <f>"584.5"</f>
        <v>584.5</v>
      </c>
      <c r="G102" t="str">
        <f>"1,728.9"</f>
        <v>1,728.9</v>
      </c>
    </row>
    <row r="103" spans="1:7" x14ac:dyDescent="0.35">
      <c r="A103" s="2">
        <v>99</v>
      </c>
      <c r="B103" t="str">
        <f>"Blackwood, Carlie (373306)"</f>
        <v>Blackwood, Carlie (373306)</v>
      </c>
      <c r="C103" t="str">
        <f>"1043407"</f>
        <v>1043407</v>
      </c>
      <c r="D103" t="str">
        <f>"557.7"</f>
        <v>557.7</v>
      </c>
      <c r="E103" t="str">
        <f>"581.9"</f>
        <v>581.9</v>
      </c>
      <c r="F103" t="str">
        <f>"573.4"</f>
        <v>573.4</v>
      </c>
      <c r="G103" t="str">
        <f>"1,713.0"</f>
        <v>1,713.0</v>
      </c>
    </row>
    <row r="104" spans="1:7" x14ac:dyDescent="0.35">
      <c r="A104" s="2">
        <v>100</v>
      </c>
      <c r="B104" t="str">
        <f>"White, Destiny (323416)"</f>
        <v>White, Destiny (323416)</v>
      </c>
      <c r="C104" t="str">
        <f>"1043319"</f>
        <v>1043319</v>
      </c>
      <c r="D104" t="str">
        <f>"572.0"</f>
        <v>572.0</v>
      </c>
      <c r="E104" t="str">
        <f>"557.2"</f>
        <v>557.2</v>
      </c>
      <c r="F104" t="str">
        <f>"570.9"</f>
        <v>570.9</v>
      </c>
      <c r="G104" t="str">
        <f>"1,700.1"</f>
        <v>1,700.1</v>
      </c>
    </row>
    <row r="105" spans="1:7" x14ac:dyDescent="0.35">
      <c r="A105" s="2">
        <v>101</v>
      </c>
      <c r="B105" t="str">
        <f>"Gutierrez, Zoe (400419)"</f>
        <v>Gutierrez, Zoe (400419)</v>
      </c>
      <c r="C105" t="str">
        <f>"1043153"</f>
        <v>1043153</v>
      </c>
      <c r="D105" t="str">
        <f>"549.7"</f>
        <v>549.7</v>
      </c>
      <c r="E105" t="str">
        <f>"575.5"</f>
        <v>575.5</v>
      </c>
      <c r="F105" t="str">
        <f>"572.9"</f>
        <v>572.9</v>
      </c>
      <c r="G105" t="str">
        <f>"1,698.1"</f>
        <v>1,698.1</v>
      </c>
    </row>
    <row r="106" spans="1:7" x14ac:dyDescent="0.35">
      <c r="A106" s="2">
        <v>102</v>
      </c>
      <c r="B106" t="str">
        <f>"Engelien, Emma (394442)"</f>
        <v>Engelien, Emma (394442)</v>
      </c>
      <c r="C106" t="str">
        <f>"1044360"</f>
        <v>1044360</v>
      </c>
      <c r="D106" t="str">
        <f>"557.8"</f>
        <v>557.8</v>
      </c>
      <c r="E106" t="str">
        <f>"570.5"</f>
        <v>570.5</v>
      </c>
      <c r="F106" t="str">
        <f>"562.5"</f>
        <v>562.5</v>
      </c>
      <c r="G106" t="str">
        <f>"1,690.8"</f>
        <v>1,690.8</v>
      </c>
    </row>
    <row r="107" spans="1:7" x14ac:dyDescent="0.35">
      <c r="A107" s="2">
        <v>103</v>
      </c>
      <c r="B107" t="str">
        <f>"Satterfield, Jayden, USA (321657)"</f>
        <v>Satterfield, Jayden, USA (321657)</v>
      </c>
      <c r="C107" t="str">
        <f>"1044551"</f>
        <v>1044551</v>
      </c>
      <c r="D107" t="str">
        <f>"545.8"</f>
        <v>545.8</v>
      </c>
      <c r="E107" t="str">
        <f>"558.8"</f>
        <v>558.8</v>
      </c>
      <c r="F107" t="str">
        <f>"578.6"</f>
        <v>578.6</v>
      </c>
      <c r="G107" t="str">
        <f>"1,683.2"</f>
        <v>1,683.2</v>
      </c>
    </row>
    <row r="108" spans="1:7" x14ac:dyDescent="0.35">
      <c r="A108" s="2">
        <v>104</v>
      </c>
      <c r="B108" t="str">
        <f>"Sylvia, Chiara (306303)"</f>
        <v>Sylvia, Chiara (306303)</v>
      </c>
      <c r="C108" t="str">
        <f>"104288"</f>
        <v>104288</v>
      </c>
      <c r="D108" t="str">
        <f>"552.4"</f>
        <v>552.4</v>
      </c>
      <c r="E108" t="str">
        <f>"553.2"</f>
        <v>553.2</v>
      </c>
      <c r="F108" t="str">
        <f>"546.5"</f>
        <v>546.5</v>
      </c>
      <c r="G108" t="str">
        <f>"1,652.1"</f>
        <v>1,652.1</v>
      </c>
    </row>
    <row r="109" spans="1:7" x14ac:dyDescent="0.35">
      <c r="A109" s="2">
        <v>105</v>
      </c>
      <c r="B109" t="str">
        <f>"Kring, Mackenzie (387865)"</f>
        <v>Kring, Mackenzie (387865)</v>
      </c>
      <c r="C109" t="str">
        <f>"1044319"</f>
        <v>1044319</v>
      </c>
      <c r="D109" t="str">
        <f>"559.6"</f>
        <v>559.6</v>
      </c>
      <c r="E109" t="str">
        <f>"542.2"</f>
        <v>542.2</v>
      </c>
      <c r="F109" t="str">
        <f>"547.5"</f>
        <v>547.5</v>
      </c>
      <c r="G109" t="str">
        <f>"1,649.3"</f>
        <v>1,649.3</v>
      </c>
    </row>
    <row r="110" spans="1:7" x14ac:dyDescent="0.35">
      <c r="A110" s="2">
        <v>106</v>
      </c>
      <c r="B110" t="str">
        <f>"Courie-Thornburg, Juliana (373071)"</f>
        <v>Courie-Thornburg, Juliana (373071)</v>
      </c>
      <c r="C110" t="str">
        <f>"1044531"</f>
        <v>1044531</v>
      </c>
      <c r="D110" t="str">
        <f>"532.9"</f>
        <v>532.9</v>
      </c>
      <c r="E110" t="str">
        <f>"555.2"</f>
        <v>555.2</v>
      </c>
      <c r="F110" t="str">
        <f>"545.8"</f>
        <v>545.8</v>
      </c>
      <c r="G110" t="str">
        <f>"1,633.9"</f>
        <v>1,633.9</v>
      </c>
    </row>
    <row r="111" spans="1:7" x14ac:dyDescent="0.35">
      <c r="A111" s="2">
        <v>107</v>
      </c>
      <c r="B111" t="str">
        <f>"Peay, Katie (313126)"</f>
        <v>Peay, Katie (313126)</v>
      </c>
      <c r="C111" t="str">
        <f>"102600"</f>
        <v>102600</v>
      </c>
      <c r="D111" t="str">
        <f>"499.8"</f>
        <v>499.8</v>
      </c>
      <c r="E111" t="str">
        <f>"512.4"</f>
        <v>512.4</v>
      </c>
      <c r="F111" t="str">
        <f>"555.6"</f>
        <v>555.6</v>
      </c>
      <c r="G111" t="str">
        <f>"1,567.8"</f>
        <v>1,567.8</v>
      </c>
    </row>
  </sheetData>
  <mergeCells count="3">
    <mergeCell ref="A3:G3"/>
    <mergeCell ref="A1:G1"/>
    <mergeCell ref="A2:G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59999389629810485"/>
  </sheetPr>
  <dimension ref="A1:M11"/>
  <sheetViews>
    <sheetView workbookViewId="0">
      <selection sqref="A1:L1"/>
    </sheetView>
  </sheetViews>
  <sheetFormatPr defaultRowHeight="14.5" x14ac:dyDescent="0.35"/>
  <cols>
    <col min="1" max="1" width="5.7265625" style="2" bestFit="1" customWidth="1"/>
    <col min="2" max="2" width="34.54296875" bestFit="1" customWidth="1"/>
    <col min="3" max="9" width="7.7265625" bestFit="1" customWidth="1"/>
    <col min="10" max="10" width="7.1796875" bestFit="1" customWidth="1"/>
    <col min="11" max="11" width="11.453125" bestFit="1" customWidth="1"/>
    <col min="12" max="12" width="10" bestFit="1" customWidth="1"/>
  </cols>
  <sheetData>
    <row r="1" spans="1:13" x14ac:dyDescent="0.35">
      <c r="A1" s="8" t="str">
        <f>"2021 USAS Winter Air Gun - Air Rifle"</f>
        <v>2021 USAS Winter Air Gun - Air Rifle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3" x14ac:dyDescent="0.35">
      <c r="A2" s="8" t="str">
        <f>"Anniston Women's Air Rifle Final"</f>
        <v>Anniston Women's Air Rifle Final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3" x14ac:dyDescent="0.35">
      <c r="A3" s="2" t="str">
        <f>"Place"</f>
        <v>Place</v>
      </c>
      <c r="B3" s="3" t="str">
        <f>"Competitor (Comp Num)"</f>
        <v>Competitor (Comp Num)</v>
      </c>
      <c r="C3" s="3" t="str">
        <f>"Final S1"</f>
        <v>Final S1</v>
      </c>
      <c r="D3" s="3" t="str">
        <f>"Final S2"</f>
        <v>Final S2</v>
      </c>
      <c r="E3" s="3" t="str">
        <f>"Final S3"</f>
        <v>Final S3</v>
      </c>
      <c r="F3" s="3" t="str">
        <f>"Final S4"</f>
        <v>Final S4</v>
      </c>
      <c r="G3" s="3" t="str">
        <f>"Final S5"</f>
        <v>Final S5</v>
      </c>
      <c r="H3" s="3" t="str">
        <f>"Final S6"</f>
        <v>Final S6</v>
      </c>
      <c r="I3" s="3" t="str">
        <f>"Final S7"</f>
        <v>Final S7</v>
      </c>
      <c r="J3" s="3" t="str">
        <f>"Bronze"</f>
        <v>Bronze</v>
      </c>
      <c r="K3" s="3" t="str">
        <f>"Gold Medal"</f>
        <v>Gold Medal</v>
      </c>
      <c r="L3" s="3" t="str">
        <f>"Aggregate"</f>
        <v>Aggregate</v>
      </c>
    </row>
    <row r="4" spans="1:13" x14ac:dyDescent="0.35">
      <c r="A4" s="2">
        <v>1</v>
      </c>
      <c r="B4" t="str">
        <f>"Maddalena, Sagen, SP4, USA (108097)"</f>
        <v>Maddalena, Sagen, SP4, USA (108097)</v>
      </c>
      <c r="C4" t="str">
        <f>"53.8"</f>
        <v>53.8</v>
      </c>
      <c r="D4" t="str">
        <f>"52.3"</f>
        <v>52.3</v>
      </c>
      <c r="E4" t="str">
        <f>"20.0"</f>
        <v>20.0</v>
      </c>
      <c r="F4" t="str">
        <f>"20.6"</f>
        <v>20.6</v>
      </c>
      <c r="G4" t="str">
        <f>"21.1"</f>
        <v>21.1</v>
      </c>
      <c r="H4" t="str">
        <f>"21.1"</f>
        <v>21.1</v>
      </c>
      <c r="I4" t="str">
        <f>"20.8"</f>
        <v>20.8</v>
      </c>
      <c r="J4" t="str">
        <f>"21.3"</f>
        <v>21.3</v>
      </c>
      <c r="K4" t="str">
        <f>"21.5"</f>
        <v>21.5</v>
      </c>
      <c r="L4" t="str">
        <f>"252.5"</f>
        <v>252.5</v>
      </c>
      <c r="M4" s="5" t="s">
        <v>36</v>
      </c>
    </row>
    <row r="5" spans="1:13" x14ac:dyDescent="0.35">
      <c r="A5" s="2">
        <v>2</v>
      </c>
      <c r="B5" t="str">
        <f>"Weisz, Alison, SP4, USA (54339)"</f>
        <v>Weisz, Alison, SP4, USA (54339)</v>
      </c>
      <c r="C5" t="str">
        <f>"52.0"</f>
        <v>52.0</v>
      </c>
      <c r="D5" t="str">
        <f>"51.4"</f>
        <v>51.4</v>
      </c>
      <c r="E5" t="str">
        <f>"21.1"</f>
        <v>21.1</v>
      </c>
      <c r="F5" t="str">
        <f>"21.3"</f>
        <v>21.3</v>
      </c>
      <c r="G5" t="str">
        <f>"20.7"</f>
        <v>20.7</v>
      </c>
      <c r="H5" t="str">
        <f>"20.6"</f>
        <v>20.6</v>
      </c>
      <c r="I5" t="str">
        <f>"21.0"</f>
        <v>21.0</v>
      </c>
      <c r="J5" t="str">
        <f>"20.9"</f>
        <v>20.9</v>
      </c>
      <c r="K5" t="str">
        <f>"20.6"</f>
        <v>20.6</v>
      </c>
      <c r="L5" t="str">
        <f>"249.6"</f>
        <v>249.6</v>
      </c>
      <c r="M5" s="6" t="s">
        <v>39</v>
      </c>
    </row>
    <row r="6" spans="1:13" x14ac:dyDescent="0.35">
      <c r="A6" s="2">
        <v>3</v>
      </c>
      <c r="B6" t="str">
        <f>"Thrasher, Virginia (161361)"</f>
        <v>Thrasher, Virginia (161361)</v>
      </c>
      <c r="C6" t="str">
        <f>"52.0"</f>
        <v>52.0</v>
      </c>
      <c r="D6" t="str">
        <f>"53.0"</f>
        <v>53.0</v>
      </c>
      <c r="E6" t="str">
        <f>"20.3"</f>
        <v>20.3</v>
      </c>
      <c r="F6" t="str">
        <f>"20.7"</f>
        <v>20.7</v>
      </c>
      <c r="G6" t="str">
        <f>"21.2"</f>
        <v>21.2</v>
      </c>
      <c r="H6" t="str">
        <f>"21.1"</f>
        <v>21.1</v>
      </c>
      <c r="I6" t="str">
        <f>"20.8"</f>
        <v>20.8</v>
      </c>
      <c r="J6" t="str">
        <f>"19.5"</f>
        <v>19.5</v>
      </c>
      <c r="K6" t="str">
        <f>""</f>
        <v/>
      </c>
      <c r="L6" t="str">
        <f>"228.6"</f>
        <v>228.6</v>
      </c>
      <c r="M6" s="7" t="s">
        <v>41</v>
      </c>
    </row>
    <row r="7" spans="1:13" x14ac:dyDescent="0.35">
      <c r="A7" s="2">
        <v>4</v>
      </c>
      <c r="B7" t="str">
        <f>"Hemphill, Kristen (230811)"</f>
        <v>Hemphill, Kristen (230811)</v>
      </c>
      <c r="C7" t="str">
        <f>"52.3"</f>
        <v>52.3</v>
      </c>
      <c r="D7" t="str">
        <f>"51.3"</f>
        <v>51.3</v>
      </c>
      <c r="E7" t="str">
        <f>"20.9"</f>
        <v>20.9</v>
      </c>
      <c r="F7" t="str">
        <f>"21.3"</f>
        <v>21.3</v>
      </c>
      <c r="G7" t="str">
        <f>"21.3"</f>
        <v>21.3</v>
      </c>
      <c r="H7" t="str">
        <f>"20.5"</f>
        <v>20.5</v>
      </c>
      <c r="I7" t="str">
        <f>"20.1"</f>
        <v>20.1</v>
      </c>
      <c r="J7" t="str">
        <f>""</f>
        <v/>
      </c>
      <c r="K7" t="str">
        <f>""</f>
        <v/>
      </c>
      <c r="L7" t="str">
        <f>"207.7"</f>
        <v>207.7</v>
      </c>
    </row>
    <row r="8" spans="1:13" x14ac:dyDescent="0.35">
      <c r="A8" s="2">
        <v>5</v>
      </c>
      <c r="B8" t="str">
        <f>"Beard, Sarah, 1LT, USA (94419)"</f>
        <v>Beard, Sarah, 1LT, USA (94419)</v>
      </c>
      <c r="C8" t="str">
        <f>"51.4"</f>
        <v>51.4</v>
      </c>
      <c r="D8" t="str">
        <f>"52.2"</f>
        <v>52.2</v>
      </c>
      <c r="E8" t="str">
        <f>"20.7"</f>
        <v>20.7</v>
      </c>
      <c r="F8" t="str">
        <f>"21.0"</f>
        <v>21.0</v>
      </c>
      <c r="G8" t="str">
        <f>"21.0"</f>
        <v>21.0</v>
      </c>
      <c r="H8" t="str">
        <f>"20.3"</f>
        <v>20.3</v>
      </c>
      <c r="I8" t="str">
        <f>""</f>
        <v/>
      </c>
      <c r="J8" t="str">
        <f>""</f>
        <v/>
      </c>
      <c r="K8" t="str">
        <f>""</f>
        <v/>
      </c>
      <c r="L8" t="str">
        <f>"186.6"</f>
        <v>186.6</v>
      </c>
    </row>
    <row r="9" spans="1:13" x14ac:dyDescent="0.35">
      <c r="A9" s="2">
        <v>6</v>
      </c>
      <c r="B9" t="str">
        <f>"Gordon, Abigail (192852)"</f>
        <v>Gordon, Abigail (192852)</v>
      </c>
      <c r="C9" t="str">
        <f>"51.1"</f>
        <v>51.1</v>
      </c>
      <c r="D9" t="str">
        <f>"51.5"</f>
        <v>51.5</v>
      </c>
      <c r="E9" t="str">
        <f>"20.5"</f>
        <v>20.5</v>
      </c>
      <c r="F9" t="str">
        <f>"21.2"</f>
        <v>21.2</v>
      </c>
      <c r="G9" t="str">
        <f>"21.0"</f>
        <v>21.0</v>
      </c>
      <c r="H9" t="str">
        <f>""</f>
        <v/>
      </c>
      <c r="I9" t="str">
        <f>""</f>
        <v/>
      </c>
      <c r="J9" t="str">
        <f>""</f>
        <v/>
      </c>
      <c r="K9" t="str">
        <f>""</f>
        <v/>
      </c>
      <c r="L9" t="str">
        <f>"165.3"</f>
        <v>165.3</v>
      </c>
    </row>
    <row r="10" spans="1:13" x14ac:dyDescent="0.35">
      <c r="A10" s="2">
        <v>7</v>
      </c>
      <c r="B10" t="str">
        <f>"D'Souza, Peninah (261499)"</f>
        <v>D'Souza, Peninah (261499)</v>
      </c>
      <c r="C10" t="str">
        <f>"50.8"</f>
        <v>50.8</v>
      </c>
      <c r="D10" t="str">
        <f>"50.8"</f>
        <v>50.8</v>
      </c>
      <c r="E10" t="str">
        <f>"21.1"</f>
        <v>21.1</v>
      </c>
      <c r="F10" t="str">
        <f>"19.8"</f>
        <v>19.8</v>
      </c>
      <c r="G10" t="str">
        <f>""</f>
        <v/>
      </c>
      <c r="H10" t="str">
        <f>""</f>
        <v/>
      </c>
      <c r="I10" t="str">
        <f>""</f>
        <v/>
      </c>
      <c r="J10" t="str">
        <f>""</f>
        <v/>
      </c>
      <c r="K10" t="str">
        <f>""</f>
        <v/>
      </c>
      <c r="L10" t="str">
        <f>"142.5"</f>
        <v>142.5</v>
      </c>
    </row>
    <row r="11" spans="1:13" x14ac:dyDescent="0.35">
      <c r="A11" s="2">
        <v>8</v>
      </c>
      <c r="B11" t="str">
        <f>"Grundsøe, Stephanie (400418)"</f>
        <v>Grundsøe, Stephanie (400418)</v>
      </c>
      <c r="C11" t="str">
        <f>"48.4"</f>
        <v>48.4</v>
      </c>
      <c r="D11" t="str">
        <f>"50.8"</f>
        <v>50.8</v>
      </c>
      <c r="E11" t="str">
        <f>"19.5"</f>
        <v>19.5</v>
      </c>
      <c r="F11" t="str">
        <f>""</f>
        <v/>
      </c>
      <c r="G11" t="str">
        <f>""</f>
        <v/>
      </c>
      <c r="H11" t="str">
        <f>""</f>
        <v/>
      </c>
      <c r="I11" t="str">
        <f>""</f>
        <v/>
      </c>
      <c r="J11" t="str">
        <f>""</f>
        <v/>
      </c>
      <c r="K11" t="str">
        <f>""</f>
        <v/>
      </c>
      <c r="L11" t="str">
        <f>"118.7"</f>
        <v>118.7</v>
      </c>
    </row>
  </sheetData>
  <mergeCells count="2">
    <mergeCell ref="A1:L1"/>
    <mergeCell ref="A2:L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</sheetPr>
  <dimension ref="A1:H177"/>
  <sheetViews>
    <sheetView workbookViewId="0">
      <selection sqref="A1:G1"/>
    </sheetView>
  </sheetViews>
  <sheetFormatPr defaultRowHeight="14.5" x14ac:dyDescent="0.35"/>
  <cols>
    <col min="1" max="1" width="9.1796875" style="2"/>
    <col min="2" max="2" width="29.7265625" customWidth="1"/>
    <col min="3" max="3" width="10.26953125" style="1" customWidth="1"/>
    <col min="7" max="7" width="12.54296875" customWidth="1"/>
  </cols>
  <sheetData>
    <row r="1" spans="1:7" x14ac:dyDescent="0.35">
      <c r="A1" s="8" t="str">
        <f>"2021 USAS Winter Air Gun - Air Rifle"</f>
        <v>2021 USAS Winter Air Gun - Air Rifle</v>
      </c>
      <c r="B1" s="8"/>
      <c r="C1" s="8"/>
      <c r="D1" s="8"/>
      <c r="E1" s="8"/>
      <c r="F1" s="8"/>
      <c r="G1" s="8"/>
    </row>
    <row r="2" spans="1:7" x14ac:dyDescent="0.35">
      <c r="A2" s="8" t="str">
        <f>"Anniston Results by Age"</f>
        <v>Anniston Results by Age</v>
      </c>
      <c r="B2" s="8"/>
      <c r="C2" s="8"/>
      <c r="D2" s="8"/>
      <c r="E2" s="8"/>
      <c r="F2" s="8"/>
      <c r="G2" s="8"/>
    </row>
    <row r="3" spans="1:7" x14ac:dyDescent="0.35">
      <c r="A3" s="2" t="s">
        <v>0</v>
      </c>
      <c r="B3" s="3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x14ac:dyDescent="0.35">
      <c r="A4" s="2" t="s">
        <v>7</v>
      </c>
      <c r="B4" s="3"/>
      <c r="C4" s="2"/>
      <c r="D4" s="3"/>
      <c r="E4" s="3"/>
      <c r="F4" s="3"/>
      <c r="G4" s="3"/>
    </row>
    <row r="5" spans="1:7" x14ac:dyDescent="0.35">
      <c r="A5" s="2">
        <v>1</v>
      </c>
      <c r="B5" t="s">
        <v>8</v>
      </c>
      <c r="C5" s="1" t="s">
        <v>9</v>
      </c>
      <c r="D5" s="4">
        <v>632.79999999999995</v>
      </c>
      <c r="E5" s="4">
        <v>631.20000000000005</v>
      </c>
      <c r="F5" s="4">
        <v>630.5</v>
      </c>
      <c r="G5" s="4">
        <f t="shared" ref="G5:G29" si="0">SUM(D5:F5)</f>
        <v>1894.5</v>
      </c>
    </row>
    <row r="6" spans="1:7" x14ac:dyDescent="0.35">
      <c r="A6" s="2">
        <v>2</v>
      </c>
      <c r="B6" t="s">
        <v>10</v>
      </c>
      <c r="C6" s="1" t="s">
        <v>9</v>
      </c>
      <c r="D6" s="4">
        <v>629.6</v>
      </c>
      <c r="E6" s="4">
        <v>632.29999999999995</v>
      </c>
      <c r="F6" s="4">
        <v>632.20000000000005</v>
      </c>
      <c r="G6" s="4">
        <f t="shared" si="0"/>
        <v>1894.1000000000001</v>
      </c>
    </row>
    <row r="7" spans="1:7" x14ac:dyDescent="0.35">
      <c r="A7" s="2">
        <v>3</v>
      </c>
      <c r="B7" t="s">
        <v>11</v>
      </c>
      <c r="C7" s="1" t="s">
        <v>9</v>
      </c>
      <c r="D7" s="4">
        <v>623.79999999999995</v>
      </c>
      <c r="E7" s="4">
        <v>628.9</v>
      </c>
      <c r="F7" s="4">
        <v>629.20000000000005</v>
      </c>
      <c r="G7" s="4">
        <f t="shared" si="0"/>
        <v>1881.8999999999999</v>
      </c>
    </row>
    <row r="8" spans="1:7" x14ac:dyDescent="0.35">
      <c r="A8" s="2">
        <v>4</v>
      </c>
      <c r="B8" t="s">
        <v>12</v>
      </c>
      <c r="C8" s="1" t="s">
        <v>13</v>
      </c>
      <c r="D8" s="4">
        <v>627.9</v>
      </c>
      <c r="E8" s="4">
        <v>624.1</v>
      </c>
      <c r="F8" s="4">
        <v>628.79999999999995</v>
      </c>
      <c r="G8" s="4">
        <f t="shared" si="0"/>
        <v>1880.8</v>
      </c>
    </row>
    <row r="9" spans="1:7" x14ac:dyDescent="0.35">
      <c r="A9" s="2">
        <v>5</v>
      </c>
      <c r="B9" t="s">
        <v>14</v>
      </c>
      <c r="C9" s="1" t="s">
        <v>13</v>
      </c>
      <c r="D9" s="4">
        <v>623.20000000000005</v>
      </c>
      <c r="E9" s="4">
        <v>629.70000000000005</v>
      </c>
      <c r="F9" s="4">
        <v>626.4</v>
      </c>
      <c r="G9" s="4">
        <f t="shared" si="0"/>
        <v>1879.3000000000002</v>
      </c>
    </row>
    <row r="10" spans="1:7" x14ac:dyDescent="0.35">
      <c r="A10" s="2">
        <v>6</v>
      </c>
      <c r="B10" t="s">
        <v>15</v>
      </c>
      <c r="C10" s="1" t="s">
        <v>9</v>
      </c>
      <c r="D10" s="4">
        <v>626.79999999999995</v>
      </c>
      <c r="E10" s="4">
        <v>627.6</v>
      </c>
      <c r="F10" s="4">
        <v>624</v>
      </c>
      <c r="G10" s="4">
        <f t="shared" si="0"/>
        <v>1878.4</v>
      </c>
    </row>
    <row r="11" spans="1:7" x14ac:dyDescent="0.35">
      <c r="A11" s="2">
        <v>7</v>
      </c>
      <c r="B11" t="s">
        <v>16</v>
      </c>
      <c r="C11" s="1" t="s">
        <v>13</v>
      </c>
      <c r="D11" s="4">
        <v>627</v>
      </c>
      <c r="E11" s="4">
        <v>625.29999999999995</v>
      </c>
      <c r="F11" s="4">
        <v>626</v>
      </c>
      <c r="G11" s="4">
        <f t="shared" si="0"/>
        <v>1878.3</v>
      </c>
    </row>
    <row r="12" spans="1:7" x14ac:dyDescent="0.35">
      <c r="A12" s="2">
        <v>8</v>
      </c>
      <c r="B12" t="s">
        <v>17</v>
      </c>
      <c r="C12" s="1" t="s">
        <v>13</v>
      </c>
      <c r="D12" s="4">
        <v>626.5</v>
      </c>
      <c r="E12" s="4">
        <v>626.9</v>
      </c>
      <c r="F12" s="4">
        <v>624.20000000000005</v>
      </c>
      <c r="G12" s="4">
        <f t="shared" si="0"/>
        <v>1877.6000000000001</v>
      </c>
    </row>
    <row r="13" spans="1:7" x14ac:dyDescent="0.35">
      <c r="A13" s="2">
        <v>9</v>
      </c>
      <c r="B13" t="s">
        <v>18</v>
      </c>
      <c r="C13" s="1" t="s">
        <v>9</v>
      </c>
      <c r="D13" s="4">
        <v>622.79999999999995</v>
      </c>
      <c r="E13" s="4">
        <v>627.79999999999995</v>
      </c>
      <c r="F13" s="4">
        <v>625.20000000000005</v>
      </c>
      <c r="G13" s="4">
        <f t="shared" si="0"/>
        <v>1875.8</v>
      </c>
    </row>
    <row r="14" spans="1:7" x14ac:dyDescent="0.35">
      <c r="A14" s="2">
        <v>10</v>
      </c>
      <c r="B14" t="s">
        <v>19</v>
      </c>
      <c r="C14" s="1" t="s">
        <v>9</v>
      </c>
      <c r="D14" s="4">
        <v>624.1</v>
      </c>
      <c r="E14" s="4">
        <v>624.9</v>
      </c>
      <c r="F14" s="4">
        <v>624</v>
      </c>
      <c r="G14" s="4">
        <f t="shared" si="0"/>
        <v>1873</v>
      </c>
    </row>
    <row r="15" spans="1:7" x14ac:dyDescent="0.35">
      <c r="A15" s="2">
        <v>11</v>
      </c>
      <c r="B15" t="s">
        <v>20</v>
      </c>
      <c r="C15" s="1" t="s">
        <v>9</v>
      </c>
      <c r="D15" s="4">
        <v>624.29999999999995</v>
      </c>
      <c r="E15" s="4">
        <v>626.70000000000005</v>
      </c>
      <c r="F15" s="4">
        <v>620.20000000000005</v>
      </c>
      <c r="G15" s="4">
        <f t="shared" si="0"/>
        <v>1871.2</v>
      </c>
    </row>
    <row r="16" spans="1:7" x14ac:dyDescent="0.35">
      <c r="A16" s="2">
        <v>12</v>
      </c>
      <c r="B16" t="s">
        <v>21</v>
      </c>
      <c r="C16" s="1" t="s">
        <v>9</v>
      </c>
      <c r="D16" s="4">
        <v>623.79999999999995</v>
      </c>
      <c r="E16" s="4">
        <v>621.70000000000005</v>
      </c>
      <c r="F16" s="4">
        <v>625.5</v>
      </c>
      <c r="G16" s="4">
        <f t="shared" si="0"/>
        <v>1871</v>
      </c>
    </row>
    <row r="17" spans="1:8" x14ac:dyDescent="0.35">
      <c r="A17" s="2">
        <v>13</v>
      </c>
      <c r="B17" t="s">
        <v>22</v>
      </c>
      <c r="C17" s="1" t="s">
        <v>9</v>
      </c>
      <c r="D17" s="4">
        <v>623.9</v>
      </c>
      <c r="E17" s="4">
        <v>624.79999999999995</v>
      </c>
      <c r="F17" s="4">
        <v>620.29999999999995</v>
      </c>
      <c r="G17" s="4">
        <f t="shared" si="0"/>
        <v>1868.9999999999998</v>
      </c>
    </row>
    <row r="18" spans="1:8" x14ac:dyDescent="0.35">
      <c r="A18" s="2">
        <v>14</v>
      </c>
      <c r="B18" t="s">
        <v>23</v>
      </c>
      <c r="C18" s="1" t="s">
        <v>9</v>
      </c>
      <c r="D18" s="4">
        <v>621.20000000000005</v>
      </c>
      <c r="E18" s="4">
        <v>624.9</v>
      </c>
      <c r="F18" s="4">
        <v>622.70000000000005</v>
      </c>
      <c r="G18" s="4">
        <f t="shared" si="0"/>
        <v>1868.8</v>
      </c>
    </row>
    <row r="19" spans="1:8" x14ac:dyDescent="0.35">
      <c r="A19" s="2">
        <v>15</v>
      </c>
      <c r="B19" t="s">
        <v>24</v>
      </c>
      <c r="C19" s="1" t="s">
        <v>13</v>
      </c>
      <c r="D19" s="4">
        <v>617.29999999999995</v>
      </c>
      <c r="E19" s="4">
        <v>621.9</v>
      </c>
      <c r="F19" s="4">
        <v>621.20000000000005</v>
      </c>
      <c r="G19" s="4">
        <f t="shared" si="0"/>
        <v>1860.3999999999999</v>
      </c>
    </row>
    <row r="20" spans="1:8" x14ac:dyDescent="0.35">
      <c r="A20" s="2">
        <v>16</v>
      </c>
      <c r="B20" t="s">
        <v>25</v>
      </c>
      <c r="C20" s="1" t="s">
        <v>13</v>
      </c>
      <c r="D20" s="4">
        <v>617.9</v>
      </c>
      <c r="E20" s="4">
        <v>618.6</v>
      </c>
      <c r="F20" s="4">
        <v>619.9</v>
      </c>
      <c r="G20" s="4">
        <f t="shared" si="0"/>
        <v>1856.4</v>
      </c>
    </row>
    <row r="21" spans="1:8" x14ac:dyDescent="0.35">
      <c r="A21" s="2">
        <v>17</v>
      </c>
      <c r="B21" t="s">
        <v>26</v>
      </c>
      <c r="C21" s="1" t="s">
        <v>13</v>
      </c>
      <c r="D21" s="4">
        <v>618.9</v>
      </c>
      <c r="E21" s="4">
        <v>621.6</v>
      </c>
      <c r="F21" s="4">
        <v>614.9</v>
      </c>
      <c r="G21" s="4">
        <f t="shared" si="0"/>
        <v>1855.4</v>
      </c>
    </row>
    <row r="22" spans="1:8" x14ac:dyDescent="0.35">
      <c r="A22" s="2">
        <v>18</v>
      </c>
      <c r="B22" t="s">
        <v>27</v>
      </c>
      <c r="C22" s="1" t="s">
        <v>9</v>
      </c>
      <c r="D22" s="4">
        <v>616.9</v>
      </c>
      <c r="E22" s="4">
        <v>619.79999999999995</v>
      </c>
      <c r="F22" s="4">
        <v>613.6</v>
      </c>
      <c r="G22" s="4">
        <f t="shared" si="0"/>
        <v>1850.2999999999997</v>
      </c>
    </row>
    <row r="23" spans="1:8" x14ac:dyDescent="0.35">
      <c r="A23" s="2">
        <v>19</v>
      </c>
      <c r="B23" t="s">
        <v>28</v>
      </c>
      <c r="C23" s="1" t="s">
        <v>13</v>
      </c>
      <c r="D23" s="4">
        <v>606.5</v>
      </c>
      <c r="E23" s="4">
        <v>618.29999999999995</v>
      </c>
      <c r="F23" s="4">
        <v>624.1</v>
      </c>
      <c r="G23" s="4">
        <f t="shared" si="0"/>
        <v>1848.9</v>
      </c>
    </row>
    <row r="24" spans="1:8" x14ac:dyDescent="0.35">
      <c r="A24" s="2">
        <v>20</v>
      </c>
      <c r="B24" t="s">
        <v>29</v>
      </c>
      <c r="C24" s="1" t="s">
        <v>13</v>
      </c>
      <c r="D24" s="4">
        <v>618.70000000000005</v>
      </c>
      <c r="E24" s="4">
        <v>616.29999999999995</v>
      </c>
      <c r="F24" s="4">
        <v>611.6</v>
      </c>
      <c r="G24" s="4">
        <f t="shared" si="0"/>
        <v>1846.6</v>
      </c>
    </row>
    <row r="25" spans="1:8" x14ac:dyDescent="0.35">
      <c r="A25" s="2">
        <v>21</v>
      </c>
      <c r="B25" t="s">
        <v>30</v>
      </c>
      <c r="C25" s="1" t="s">
        <v>9</v>
      </c>
      <c r="D25" s="4">
        <v>614.29999999999995</v>
      </c>
      <c r="E25" s="4">
        <v>612.6</v>
      </c>
      <c r="F25" s="4">
        <v>616.5</v>
      </c>
      <c r="G25" s="4">
        <f t="shared" si="0"/>
        <v>1843.4</v>
      </c>
    </row>
    <row r="26" spans="1:8" x14ac:dyDescent="0.35">
      <c r="A26" s="2">
        <v>22</v>
      </c>
      <c r="B26" t="s">
        <v>31</v>
      </c>
      <c r="C26" s="1" t="s">
        <v>9</v>
      </c>
      <c r="D26" s="4">
        <v>611.29999999999995</v>
      </c>
      <c r="E26" s="4">
        <v>619.4</v>
      </c>
      <c r="F26" s="4">
        <v>611.20000000000005</v>
      </c>
      <c r="G26" s="4">
        <f t="shared" si="0"/>
        <v>1841.8999999999999</v>
      </c>
    </row>
    <row r="27" spans="1:8" x14ac:dyDescent="0.35">
      <c r="A27" s="2">
        <v>23</v>
      </c>
      <c r="B27" t="s">
        <v>32</v>
      </c>
      <c r="C27" s="1" t="s">
        <v>9</v>
      </c>
      <c r="D27" s="4">
        <v>600.29999999999995</v>
      </c>
      <c r="E27" s="4">
        <v>617.29999999999995</v>
      </c>
      <c r="F27" s="4">
        <v>616</v>
      </c>
      <c r="G27" s="4">
        <f t="shared" si="0"/>
        <v>1833.6</v>
      </c>
    </row>
    <row r="28" spans="1:8" x14ac:dyDescent="0.35">
      <c r="A28" s="2">
        <v>24</v>
      </c>
      <c r="B28" t="s">
        <v>33</v>
      </c>
      <c r="C28" s="1" t="s">
        <v>9</v>
      </c>
      <c r="D28" s="4">
        <v>599</v>
      </c>
      <c r="E28" s="4">
        <v>605.20000000000005</v>
      </c>
      <c r="F28" s="4">
        <v>599.29999999999995</v>
      </c>
      <c r="G28" s="4">
        <f t="shared" si="0"/>
        <v>1803.5</v>
      </c>
    </row>
    <row r="29" spans="1:8" x14ac:dyDescent="0.35">
      <c r="A29" s="2">
        <v>25</v>
      </c>
      <c r="B29" t="s">
        <v>34</v>
      </c>
      <c r="C29" s="1" t="s">
        <v>9</v>
      </c>
      <c r="D29" s="4">
        <v>590.20000000000005</v>
      </c>
      <c r="E29" s="4">
        <v>596.4</v>
      </c>
      <c r="F29" s="4">
        <v>601.29999999999995</v>
      </c>
      <c r="G29" s="4">
        <f t="shared" si="0"/>
        <v>1787.8999999999999</v>
      </c>
    </row>
    <row r="31" spans="1:8" x14ac:dyDescent="0.35">
      <c r="A31" s="2" t="str">
        <f>"U21"</f>
        <v>U21</v>
      </c>
    </row>
    <row r="32" spans="1:8" x14ac:dyDescent="0.35">
      <c r="A32" s="2">
        <v>1</v>
      </c>
      <c r="B32" t="s">
        <v>35</v>
      </c>
      <c r="C32" s="1" t="s">
        <v>9</v>
      </c>
      <c r="D32" s="4">
        <v>626.1</v>
      </c>
      <c r="E32" s="4">
        <v>631.1</v>
      </c>
      <c r="F32" s="4">
        <v>625.79999999999995</v>
      </c>
      <c r="G32" s="4">
        <f t="shared" ref="G32:G74" si="1">SUM(D32:F32)</f>
        <v>1883</v>
      </c>
      <c r="H32" s="5" t="s">
        <v>36</v>
      </c>
    </row>
    <row r="33" spans="1:8" x14ac:dyDescent="0.35">
      <c r="A33" s="2">
        <v>2</v>
      </c>
      <c r="B33" t="s">
        <v>37</v>
      </c>
      <c r="C33" s="1" t="s">
        <v>13</v>
      </c>
      <c r="D33" s="4">
        <v>628.6</v>
      </c>
      <c r="E33" s="4">
        <v>626.20000000000005</v>
      </c>
      <c r="F33" s="4">
        <v>623</v>
      </c>
      <c r="G33" s="4">
        <f t="shared" si="1"/>
        <v>1877.8000000000002</v>
      </c>
      <c r="H33" s="5" t="s">
        <v>36</v>
      </c>
    </row>
    <row r="34" spans="1:8" x14ac:dyDescent="0.35">
      <c r="A34" s="2">
        <v>3</v>
      </c>
      <c r="B34" t="s">
        <v>38</v>
      </c>
      <c r="C34" s="1" t="s">
        <v>9</v>
      </c>
      <c r="D34" s="4">
        <v>620.5</v>
      </c>
      <c r="E34" s="4">
        <v>624.5</v>
      </c>
      <c r="F34" s="4">
        <v>624.29999999999995</v>
      </c>
      <c r="G34" s="4">
        <f t="shared" si="1"/>
        <v>1869.3</v>
      </c>
      <c r="H34" s="6" t="s">
        <v>39</v>
      </c>
    </row>
    <row r="35" spans="1:8" x14ac:dyDescent="0.35">
      <c r="A35" s="2">
        <v>4</v>
      </c>
      <c r="B35" t="s">
        <v>40</v>
      </c>
      <c r="C35" s="1" t="s">
        <v>9</v>
      </c>
      <c r="D35" s="4">
        <v>622</v>
      </c>
      <c r="E35" s="4">
        <v>622.70000000000005</v>
      </c>
      <c r="F35" s="4">
        <v>622</v>
      </c>
      <c r="G35" s="4">
        <f t="shared" si="1"/>
        <v>1866.7</v>
      </c>
      <c r="H35" s="7" t="s">
        <v>41</v>
      </c>
    </row>
    <row r="36" spans="1:8" x14ac:dyDescent="0.35">
      <c r="A36" s="2">
        <v>5</v>
      </c>
      <c r="B36" t="s">
        <v>42</v>
      </c>
      <c r="C36" s="1" t="s">
        <v>9</v>
      </c>
      <c r="D36" s="4">
        <v>621.5</v>
      </c>
      <c r="E36" s="4">
        <v>623.70000000000005</v>
      </c>
      <c r="F36" s="4">
        <v>621.20000000000005</v>
      </c>
      <c r="G36" s="4">
        <f t="shared" si="1"/>
        <v>1866.4</v>
      </c>
    </row>
    <row r="37" spans="1:8" x14ac:dyDescent="0.35">
      <c r="A37" s="2">
        <v>6</v>
      </c>
      <c r="B37" t="s">
        <v>43</v>
      </c>
      <c r="C37" s="1" t="s">
        <v>13</v>
      </c>
      <c r="D37" s="4">
        <v>621.5</v>
      </c>
      <c r="E37" s="4">
        <v>620.29999999999995</v>
      </c>
      <c r="F37" s="4">
        <v>618</v>
      </c>
      <c r="G37" s="4">
        <f t="shared" si="1"/>
        <v>1859.8</v>
      </c>
      <c r="H37" s="6" t="s">
        <v>39</v>
      </c>
    </row>
    <row r="38" spans="1:8" x14ac:dyDescent="0.35">
      <c r="A38" s="2">
        <v>7</v>
      </c>
      <c r="B38" t="s">
        <v>44</v>
      </c>
      <c r="C38" s="1" t="s">
        <v>9</v>
      </c>
      <c r="D38" s="4">
        <v>625.4</v>
      </c>
      <c r="E38" s="4">
        <v>617</v>
      </c>
      <c r="F38" s="4">
        <v>614.4</v>
      </c>
      <c r="G38" s="4">
        <f t="shared" si="1"/>
        <v>1856.8000000000002</v>
      </c>
    </row>
    <row r="39" spans="1:8" x14ac:dyDescent="0.35">
      <c r="A39" s="2">
        <v>8</v>
      </c>
      <c r="B39" t="s">
        <v>45</v>
      </c>
      <c r="C39" s="1" t="s">
        <v>9</v>
      </c>
      <c r="D39" s="4">
        <v>615.6</v>
      </c>
      <c r="E39" s="4">
        <v>618.9</v>
      </c>
      <c r="F39" s="4">
        <v>620.1</v>
      </c>
      <c r="G39" s="4">
        <f t="shared" si="1"/>
        <v>1854.6</v>
      </c>
    </row>
    <row r="40" spans="1:8" x14ac:dyDescent="0.35">
      <c r="A40" s="2">
        <v>9</v>
      </c>
      <c r="B40" t="s">
        <v>46</v>
      </c>
      <c r="C40" s="1" t="s">
        <v>9</v>
      </c>
      <c r="D40" s="4">
        <v>625</v>
      </c>
      <c r="E40" s="4">
        <v>617.29999999999995</v>
      </c>
      <c r="F40" s="4">
        <v>611.79999999999995</v>
      </c>
      <c r="G40" s="4">
        <f t="shared" si="1"/>
        <v>1854.1</v>
      </c>
    </row>
    <row r="41" spans="1:8" x14ac:dyDescent="0.35">
      <c r="A41" s="2">
        <v>10</v>
      </c>
      <c r="B41" t="s">
        <v>47</v>
      </c>
      <c r="C41" s="1" t="s">
        <v>9</v>
      </c>
      <c r="D41" s="4">
        <v>613.5</v>
      </c>
      <c r="E41" s="4">
        <v>617.70000000000005</v>
      </c>
      <c r="F41" s="4">
        <v>621.1</v>
      </c>
      <c r="G41" s="4">
        <f t="shared" si="1"/>
        <v>1852.3000000000002</v>
      </c>
    </row>
    <row r="42" spans="1:8" x14ac:dyDescent="0.35">
      <c r="A42" s="2">
        <v>11</v>
      </c>
      <c r="B42" t="s">
        <v>48</v>
      </c>
      <c r="C42" s="1" t="s">
        <v>9</v>
      </c>
      <c r="D42" s="4">
        <v>616.5</v>
      </c>
      <c r="E42" s="4">
        <v>615.70000000000005</v>
      </c>
      <c r="F42" s="4">
        <v>614.70000000000005</v>
      </c>
      <c r="G42" s="4">
        <f t="shared" si="1"/>
        <v>1846.9</v>
      </c>
    </row>
    <row r="43" spans="1:8" x14ac:dyDescent="0.35">
      <c r="A43" s="2">
        <v>12</v>
      </c>
      <c r="B43" t="s">
        <v>49</v>
      </c>
      <c r="C43" s="1" t="s">
        <v>13</v>
      </c>
      <c r="D43" s="4">
        <v>621.79999999999995</v>
      </c>
      <c r="E43" s="4">
        <v>608.29999999999995</v>
      </c>
      <c r="F43" s="4">
        <v>615.6</v>
      </c>
      <c r="G43" s="4">
        <f t="shared" si="1"/>
        <v>1845.6999999999998</v>
      </c>
      <c r="H43" s="7" t="s">
        <v>41</v>
      </c>
    </row>
    <row r="44" spans="1:8" x14ac:dyDescent="0.35">
      <c r="A44" s="2">
        <v>13</v>
      </c>
      <c r="B44" t="s">
        <v>50</v>
      </c>
      <c r="C44" s="1" t="s">
        <v>13</v>
      </c>
      <c r="D44" s="4">
        <v>615.4</v>
      </c>
      <c r="E44" s="4">
        <v>612.9</v>
      </c>
      <c r="F44" s="4">
        <v>609.1</v>
      </c>
      <c r="G44" s="4">
        <f t="shared" si="1"/>
        <v>1837.4</v>
      </c>
    </row>
    <row r="45" spans="1:8" x14ac:dyDescent="0.35">
      <c r="A45" s="2">
        <v>14</v>
      </c>
      <c r="B45" t="s">
        <v>51</v>
      </c>
      <c r="C45" s="1" t="s">
        <v>9</v>
      </c>
      <c r="D45" s="4">
        <v>607.4</v>
      </c>
      <c r="E45" s="4">
        <v>612.6</v>
      </c>
      <c r="F45" s="4">
        <v>615.4</v>
      </c>
      <c r="G45" s="4">
        <f t="shared" si="1"/>
        <v>1835.4</v>
      </c>
    </row>
    <row r="46" spans="1:8" x14ac:dyDescent="0.35">
      <c r="A46" s="2">
        <v>15</v>
      </c>
      <c r="B46" t="s">
        <v>52</v>
      </c>
      <c r="C46" s="1" t="s">
        <v>9</v>
      </c>
      <c r="D46" s="4">
        <v>613.20000000000005</v>
      </c>
      <c r="E46" s="4">
        <v>608.29999999999995</v>
      </c>
      <c r="F46" s="4">
        <v>613.5</v>
      </c>
      <c r="G46" s="4">
        <f t="shared" si="1"/>
        <v>1835</v>
      </c>
    </row>
    <row r="47" spans="1:8" x14ac:dyDescent="0.35">
      <c r="A47" s="2">
        <v>16</v>
      </c>
      <c r="B47" t="s">
        <v>53</v>
      </c>
      <c r="C47" s="1" t="s">
        <v>9</v>
      </c>
      <c r="D47" s="4">
        <v>609.29999999999995</v>
      </c>
      <c r="E47" s="4">
        <v>609.9</v>
      </c>
      <c r="F47" s="4">
        <v>614.1</v>
      </c>
      <c r="G47" s="4">
        <f t="shared" si="1"/>
        <v>1833.2999999999997</v>
      </c>
    </row>
    <row r="48" spans="1:8" x14ac:dyDescent="0.35">
      <c r="A48" s="2">
        <v>17</v>
      </c>
      <c r="B48" t="s">
        <v>54</v>
      </c>
      <c r="C48" s="1" t="s">
        <v>9</v>
      </c>
      <c r="D48" s="4">
        <v>614.1</v>
      </c>
      <c r="E48" s="4">
        <v>610</v>
      </c>
      <c r="F48" s="4">
        <v>607.5</v>
      </c>
      <c r="G48" s="4">
        <f t="shared" si="1"/>
        <v>1831.6</v>
      </c>
    </row>
    <row r="49" spans="1:7" x14ac:dyDescent="0.35">
      <c r="A49" s="2">
        <v>18</v>
      </c>
      <c r="B49" t="s">
        <v>55</v>
      </c>
      <c r="C49" s="1" t="s">
        <v>13</v>
      </c>
      <c r="D49" s="4">
        <v>607.6</v>
      </c>
      <c r="E49" s="4">
        <v>609.9</v>
      </c>
      <c r="F49" s="4">
        <v>613.70000000000005</v>
      </c>
      <c r="G49" s="4">
        <f t="shared" si="1"/>
        <v>1831.2</v>
      </c>
    </row>
    <row r="50" spans="1:7" x14ac:dyDescent="0.35">
      <c r="A50" s="2">
        <v>19</v>
      </c>
      <c r="B50" t="s">
        <v>56</v>
      </c>
      <c r="C50" s="1" t="s">
        <v>13</v>
      </c>
      <c r="D50" s="4">
        <v>608.29999999999995</v>
      </c>
      <c r="E50" s="4">
        <v>610.4</v>
      </c>
      <c r="F50" s="4">
        <v>612.29999999999995</v>
      </c>
      <c r="G50" s="4">
        <f t="shared" si="1"/>
        <v>1830.9999999999998</v>
      </c>
    </row>
    <row r="51" spans="1:7" x14ac:dyDescent="0.35">
      <c r="A51" s="2">
        <v>20</v>
      </c>
      <c r="B51" t="s">
        <v>57</v>
      </c>
      <c r="C51" s="1" t="s">
        <v>9</v>
      </c>
      <c r="D51" s="4">
        <v>615.5</v>
      </c>
      <c r="E51" s="4">
        <v>611.79999999999995</v>
      </c>
      <c r="F51" s="4">
        <v>602.1</v>
      </c>
      <c r="G51" s="4">
        <f t="shared" si="1"/>
        <v>1829.4</v>
      </c>
    </row>
    <row r="52" spans="1:7" x14ac:dyDescent="0.35">
      <c r="A52" s="2">
        <v>21</v>
      </c>
      <c r="B52" t="s">
        <v>58</v>
      </c>
      <c r="C52" s="1" t="s">
        <v>9</v>
      </c>
      <c r="D52" s="4">
        <v>607.1</v>
      </c>
      <c r="E52" s="4">
        <v>608.4</v>
      </c>
      <c r="F52" s="4">
        <v>612.79999999999995</v>
      </c>
      <c r="G52" s="4">
        <f t="shared" si="1"/>
        <v>1828.3</v>
      </c>
    </row>
    <row r="53" spans="1:7" x14ac:dyDescent="0.35">
      <c r="A53" s="2">
        <v>22</v>
      </c>
      <c r="B53" t="s">
        <v>59</v>
      </c>
      <c r="C53" s="1" t="s">
        <v>9</v>
      </c>
      <c r="D53" s="4">
        <v>613</v>
      </c>
      <c r="E53" s="4">
        <v>606</v>
      </c>
      <c r="F53" s="4">
        <v>608.20000000000005</v>
      </c>
      <c r="G53" s="4">
        <f t="shared" si="1"/>
        <v>1827.2</v>
      </c>
    </row>
    <row r="54" spans="1:7" x14ac:dyDescent="0.35">
      <c r="A54" s="2">
        <v>23</v>
      </c>
      <c r="B54" t="s">
        <v>60</v>
      </c>
      <c r="C54" s="1" t="s">
        <v>9</v>
      </c>
      <c r="D54" s="4">
        <v>609.70000000000005</v>
      </c>
      <c r="E54" s="4">
        <v>605.9</v>
      </c>
      <c r="F54" s="4">
        <v>608</v>
      </c>
      <c r="G54" s="4">
        <f t="shared" si="1"/>
        <v>1823.6</v>
      </c>
    </row>
    <row r="55" spans="1:7" x14ac:dyDescent="0.35">
      <c r="A55" s="2">
        <v>24</v>
      </c>
      <c r="B55" t="s">
        <v>61</v>
      </c>
      <c r="C55" s="1" t="s">
        <v>13</v>
      </c>
      <c r="D55" s="4">
        <v>612.9</v>
      </c>
      <c r="E55" s="4">
        <v>608.9</v>
      </c>
      <c r="F55" s="4">
        <v>601.4</v>
      </c>
      <c r="G55" s="4">
        <f t="shared" si="1"/>
        <v>1823.1999999999998</v>
      </c>
    </row>
    <row r="56" spans="1:7" x14ac:dyDescent="0.35">
      <c r="A56" s="2">
        <v>25</v>
      </c>
      <c r="B56" t="s">
        <v>62</v>
      </c>
      <c r="C56" s="1" t="s">
        <v>13</v>
      </c>
      <c r="D56" s="4">
        <v>601.1</v>
      </c>
      <c r="E56" s="4">
        <v>610.70000000000005</v>
      </c>
      <c r="F56" s="4">
        <v>611.1</v>
      </c>
      <c r="G56" s="4">
        <f t="shared" si="1"/>
        <v>1822.9</v>
      </c>
    </row>
    <row r="57" spans="1:7" x14ac:dyDescent="0.35">
      <c r="A57" s="2">
        <v>26</v>
      </c>
      <c r="B57" t="s">
        <v>63</v>
      </c>
      <c r="C57" s="1" t="s">
        <v>13</v>
      </c>
      <c r="D57" s="4">
        <v>603.9</v>
      </c>
      <c r="E57" s="4">
        <v>609.1</v>
      </c>
      <c r="F57" s="4">
        <v>608.5</v>
      </c>
      <c r="G57" s="4">
        <f t="shared" si="1"/>
        <v>1821.5</v>
      </c>
    </row>
    <row r="58" spans="1:7" x14ac:dyDescent="0.35">
      <c r="A58" s="2">
        <v>27</v>
      </c>
      <c r="B58" t="s">
        <v>64</v>
      </c>
      <c r="C58" s="1" t="s">
        <v>13</v>
      </c>
      <c r="D58" s="4">
        <v>607.1</v>
      </c>
      <c r="E58" s="4">
        <v>604.4</v>
      </c>
      <c r="F58" s="4">
        <v>608.79999999999995</v>
      </c>
      <c r="G58" s="4">
        <f t="shared" si="1"/>
        <v>1820.3</v>
      </c>
    </row>
    <row r="59" spans="1:7" x14ac:dyDescent="0.35">
      <c r="A59" s="2">
        <v>28</v>
      </c>
      <c r="B59" t="s">
        <v>65</v>
      </c>
      <c r="C59" s="1" t="s">
        <v>9</v>
      </c>
      <c r="D59" s="4">
        <v>603</v>
      </c>
      <c r="E59" s="4">
        <v>602.1</v>
      </c>
      <c r="F59" s="4">
        <v>615</v>
      </c>
      <c r="G59" s="4">
        <f t="shared" si="1"/>
        <v>1820.1</v>
      </c>
    </row>
    <row r="60" spans="1:7" x14ac:dyDescent="0.35">
      <c r="A60" s="2">
        <v>29</v>
      </c>
      <c r="B60" t="s">
        <v>66</v>
      </c>
      <c r="C60" s="1" t="s">
        <v>9</v>
      </c>
      <c r="D60" s="4">
        <v>608.5</v>
      </c>
      <c r="E60" s="4">
        <v>604</v>
      </c>
      <c r="F60" s="4">
        <v>604.20000000000005</v>
      </c>
      <c r="G60" s="4">
        <f t="shared" si="1"/>
        <v>1816.7</v>
      </c>
    </row>
    <row r="61" spans="1:7" x14ac:dyDescent="0.35">
      <c r="A61" s="2">
        <v>30</v>
      </c>
      <c r="B61" t="s">
        <v>67</v>
      </c>
      <c r="C61" s="1" t="s">
        <v>13</v>
      </c>
      <c r="D61" s="4">
        <v>596.1</v>
      </c>
      <c r="E61" s="4">
        <v>607.6</v>
      </c>
      <c r="F61" s="4">
        <v>596.4</v>
      </c>
      <c r="G61" s="4">
        <f t="shared" si="1"/>
        <v>1800.1</v>
      </c>
    </row>
    <row r="62" spans="1:7" x14ac:dyDescent="0.35">
      <c r="A62" s="2">
        <v>31</v>
      </c>
      <c r="B62" t="s">
        <v>68</v>
      </c>
      <c r="C62" s="1" t="s">
        <v>13</v>
      </c>
      <c r="D62" s="4">
        <v>597.70000000000005</v>
      </c>
      <c r="E62" s="4">
        <v>600.9</v>
      </c>
      <c r="F62" s="4">
        <v>601.29999999999995</v>
      </c>
      <c r="G62" s="4">
        <f t="shared" si="1"/>
        <v>1799.8999999999999</v>
      </c>
    </row>
    <row r="63" spans="1:7" x14ac:dyDescent="0.35">
      <c r="A63" s="2">
        <v>32</v>
      </c>
      <c r="B63" t="s">
        <v>69</v>
      </c>
      <c r="C63" s="1" t="s">
        <v>13</v>
      </c>
      <c r="D63" s="4">
        <v>603.4</v>
      </c>
      <c r="E63" s="4">
        <v>596.9</v>
      </c>
      <c r="F63" s="4">
        <v>591.20000000000005</v>
      </c>
      <c r="G63" s="4">
        <f t="shared" si="1"/>
        <v>1791.5</v>
      </c>
    </row>
    <row r="64" spans="1:7" x14ac:dyDescent="0.35">
      <c r="A64" s="2">
        <v>33</v>
      </c>
      <c r="B64" t="s">
        <v>70</v>
      </c>
      <c r="C64" s="1" t="s">
        <v>13</v>
      </c>
      <c r="D64" s="4">
        <v>601.5</v>
      </c>
      <c r="E64" s="4">
        <v>594.29999999999995</v>
      </c>
      <c r="F64" s="4">
        <v>590.6</v>
      </c>
      <c r="G64" s="4">
        <f t="shared" si="1"/>
        <v>1786.4</v>
      </c>
    </row>
    <row r="65" spans="1:8" x14ac:dyDescent="0.35">
      <c r="A65" s="2">
        <v>34</v>
      </c>
      <c r="B65" t="s">
        <v>71</v>
      </c>
      <c r="C65" s="1" t="s">
        <v>13</v>
      </c>
      <c r="D65" s="4">
        <v>596.6</v>
      </c>
      <c r="E65" s="4">
        <v>594.20000000000005</v>
      </c>
      <c r="F65" s="4">
        <v>585.1</v>
      </c>
      <c r="G65" s="4">
        <f t="shared" si="1"/>
        <v>1775.9</v>
      </c>
    </row>
    <row r="66" spans="1:8" x14ac:dyDescent="0.35">
      <c r="A66" s="2">
        <v>35</v>
      </c>
      <c r="B66" t="s">
        <v>72</v>
      </c>
      <c r="C66" s="1" t="s">
        <v>13</v>
      </c>
      <c r="D66" s="4">
        <v>594.9</v>
      </c>
      <c r="E66" s="4">
        <v>599.5</v>
      </c>
      <c r="F66" s="4">
        <v>580.5</v>
      </c>
      <c r="G66" s="4">
        <f t="shared" si="1"/>
        <v>1774.9</v>
      </c>
    </row>
    <row r="67" spans="1:8" x14ac:dyDescent="0.35">
      <c r="A67" s="2">
        <v>36</v>
      </c>
      <c r="B67" t="s">
        <v>73</v>
      </c>
      <c r="C67" s="1" t="s">
        <v>13</v>
      </c>
      <c r="D67" s="4">
        <v>590.4</v>
      </c>
      <c r="E67" s="4">
        <v>596.4</v>
      </c>
      <c r="F67" s="4">
        <v>587.1</v>
      </c>
      <c r="G67" s="4">
        <f t="shared" si="1"/>
        <v>1773.9</v>
      </c>
    </row>
    <row r="68" spans="1:8" x14ac:dyDescent="0.35">
      <c r="A68" s="2">
        <v>37</v>
      </c>
      <c r="B68" t="s">
        <v>74</v>
      </c>
      <c r="C68" s="1" t="s">
        <v>9</v>
      </c>
      <c r="D68" s="4">
        <v>585.29999999999995</v>
      </c>
      <c r="E68" s="4">
        <v>590.9</v>
      </c>
      <c r="F68" s="4">
        <v>586.79999999999995</v>
      </c>
      <c r="G68" s="4">
        <f t="shared" si="1"/>
        <v>1762.9999999999998</v>
      </c>
    </row>
    <row r="69" spans="1:8" x14ac:dyDescent="0.35">
      <c r="A69" s="2">
        <v>38</v>
      </c>
      <c r="B69" t="s">
        <v>75</v>
      </c>
      <c r="C69" s="1" t="s">
        <v>9</v>
      </c>
      <c r="D69" s="4">
        <v>591.20000000000005</v>
      </c>
      <c r="E69" s="4">
        <v>592.9</v>
      </c>
      <c r="F69" s="4">
        <v>573.70000000000005</v>
      </c>
      <c r="G69" s="4">
        <f t="shared" si="1"/>
        <v>1757.8</v>
      </c>
    </row>
    <row r="70" spans="1:8" x14ac:dyDescent="0.35">
      <c r="A70" s="2">
        <v>39</v>
      </c>
      <c r="B70" t="s">
        <v>76</v>
      </c>
      <c r="C70" s="1" t="s">
        <v>13</v>
      </c>
      <c r="D70" s="4">
        <v>585.79999999999995</v>
      </c>
      <c r="E70" s="4">
        <v>590.20000000000005</v>
      </c>
      <c r="F70" s="4">
        <v>581.5</v>
      </c>
      <c r="G70" s="4">
        <f t="shared" si="1"/>
        <v>1757.5</v>
      </c>
    </row>
    <row r="71" spans="1:8" x14ac:dyDescent="0.35">
      <c r="A71" s="2">
        <v>40</v>
      </c>
      <c r="B71" t="s">
        <v>77</v>
      </c>
      <c r="C71" s="1" t="s">
        <v>13</v>
      </c>
      <c r="D71" s="4">
        <v>577</v>
      </c>
      <c r="E71" s="4">
        <v>589.70000000000005</v>
      </c>
      <c r="F71" s="4">
        <v>586.79999999999995</v>
      </c>
      <c r="G71" s="4">
        <f t="shared" si="1"/>
        <v>1753.5</v>
      </c>
    </row>
    <row r="72" spans="1:8" x14ac:dyDescent="0.35">
      <c r="A72" s="2">
        <v>41</v>
      </c>
      <c r="B72" t="s">
        <v>78</v>
      </c>
      <c r="C72" s="1" t="s">
        <v>9</v>
      </c>
      <c r="D72" s="4">
        <v>588.29999999999995</v>
      </c>
      <c r="E72" s="4">
        <v>576.9</v>
      </c>
      <c r="F72" s="4">
        <v>576.70000000000005</v>
      </c>
      <c r="G72" s="4">
        <f t="shared" si="1"/>
        <v>1741.8999999999999</v>
      </c>
    </row>
    <row r="73" spans="1:8" x14ac:dyDescent="0.35">
      <c r="A73" s="2">
        <v>42</v>
      </c>
      <c r="B73" t="s">
        <v>79</v>
      </c>
      <c r="C73" s="1" t="s">
        <v>13</v>
      </c>
      <c r="D73" s="4">
        <v>571.20000000000005</v>
      </c>
      <c r="E73" s="4">
        <v>583.1</v>
      </c>
      <c r="F73" s="4">
        <v>583.4</v>
      </c>
      <c r="G73" s="4">
        <f t="shared" si="1"/>
        <v>1737.7000000000003</v>
      </c>
    </row>
    <row r="74" spans="1:8" x14ac:dyDescent="0.35">
      <c r="A74" s="2">
        <v>43</v>
      </c>
      <c r="B74" t="s">
        <v>80</v>
      </c>
      <c r="C74" s="1" t="s">
        <v>13</v>
      </c>
      <c r="D74" s="4">
        <v>572.29999999999995</v>
      </c>
      <c r="E74" s="4">
        <v>561.6</v>
      </c>
      <c r="F74" s="4">
        <v>559.20000000000005</v>
      </c>
      <c r="G74" s="4">
        <f t="shared" si="1"/>
        <v>1693.1000000000001</v>
      </c>
    </row>
    <row r="75" spans="1:8" x14ac:dyDescent="0.35">
      <c r="D75" s="4"/>
      <c r="E75" s="4"/>
      <c r="F75" s="4"/>
      <c r="G75" s="4"/>
    </row>
    <row r="76" spans="1:8" x14ac:dyDescent="0.35">
      <c r="A76" s="2" t="str">
        <f>"U18"</f>
        <v>U18</v>
      </c>
    </row>
    <row r="77" spans="1:8" x14ac:dyDescent="0.35">
      <c r="A77" s="2">
        <v>1</v>
      </c>
      <c r="B77" t="s">
        <v>81</v>
      </c>
      <c r="C77" s="1" t="s">
        <v>9</v>
      </c>
      <c r="D77" s="4">
        <v>623.1</v>
      </c>
      <c r="E77" s="4">
        <v>614</v>
      </c>
      <c r="F77" s="4">
        <v>617.9</v>
      </c>
      <c r="G77" s="4">
        <f t="shared" ref="G77:G140" si="2">SUM(D77:F77)</f>
        <v>1855</v>
      </c>
      <c r="H77" s="5" t="s">
        <v>36</v>
      </c>
    </row>
    <row r="78" spans="1:8" x14ac:dyDescent="0.35">
      <c r="A78" s="2">
        <v>2</v>
      </c>
      <c r="B78" t="s">
        <v>82</v>
      </c>
      <c r="C78" s="1" t="s">
        <v>9</v>
      </c>
      <c r="D78" s="4">
        <v>617.20000000000005</v>
      </c>
      <c r="E78" s="4">
        <v>616</v>
      </c>
      <c r="F78" s="4">
        <v>618.9</v>
      </c>
      <c r="G78" s="4">
        <f t="shared" si="2"/>
        <v>1852.1</v>
      </c>
      <c r="H78" s="6" t="s">
        <v>39</v>
      </c>
    </row>
    <row r="79" spans="1:8" x14ac:dyDescent="0.35">
      <c r="A79" s="2">
        <v>3</v>
      </c>
      <c r="B79" t="s">
        <v>83</v>
      </c>
      <c r="C79" s="1" t="s">
        <v>9</v>
      </c>
      <c r="D79" s="4">
        <v>620.5</v>
      </c>
      <c r="E79" s="4">
        <v>614.70000000000005</v>
      </c>
      <c r="F79" s="4">
        <v>615.29999999999995</v>
      </c>
      <c r="G79" s="4">
        <f t="shared" si="2"/>
        <v>1850.5</v>
      </c>
      <c r="H79" s="7" t="s">
        <v>41</v>
      </c>
    </row>
    <row r="80" spans="1:8" x14ac:dyDescent="0.35">
      <c r="A80" s="2">
        <v>4</v>
      </c>
      <c r="B80" t="s">
        <v>84</v>
      </c>
      <c r="C80" s="1" t="s">
        <v>9</v>
      </c>
      <c r="D80" s="4">
        <v>611.5</v>
      </c>
      <c r="E80" s="4">
        <v>618.20000000000005</v>
      </c>
      <c r="F80" s="4">
        <v>617.4</v>
      </c>
      <c r="G80" s="4">
        <f t="shared" si="2"/>
        <v>1847.1</v>
      </c>
    </row>
    <row r="81" spans="1:8" x14ac:dyDescent="0.35">
      <c r="A81" s="2">
        <v>5</v>
      </c>
      <c r="B81" t="s">
        <v>85</v>
      </c>
      <c r="C81" s="1" t="s">
        <v>9</v>
      </c>
      <c r="D81" s="4">
        <v>614</v>
      </c>
      <c r="E81" s="4">
        <v>614.9</v>
      </c>
      <c r="F81" s="4">
        <v>618</v>
      </c>
      <c r="G81" s="4">
        <f t="shared" si="2"/>
        <v>1846.9</v>
      </c>
    </row>
    <row r="82" spans="1:8" x14ac:dyDescent="0.35">
      <c r="A82" s="2">
        <v>6</v>
      </c>
      <c r="B82" t="s">
        <v>86</v>
      </c>
      <c r="C82" s="1" t="s">
        <v>9</v>
      </c>
      <c r="D82" s="4">
        <v>613.1</v>
      </c>
      <c r="E82" s="4">
        <v>612.9</v>
      </c>
      <c r="F82" s="4">
        <v>619.4</v>
      </c>
      <c r="G82" s="4">
        <f t="shared" si="2"/>
        <v>1845.4</v>
      </c>
    </row>
    <row r="83" spans="1:8" x14ac:dyDescent="0.35">
      <c r="A83" s="2">
        <v>7</v>
      </c>
      <c r="B83" t="s">
        <v>87</v>
      </c>
      <c r="C83" s="1" t="s">
        <v>9</v>
      </c>
      <c r="D83" s="4">
        <v>613.9</v>
      </c>
      <c r="E83" s="4">
        <v>612.5</v>
      </c>
      <c r="F83" s="4">
        <v>617.20000000000005</v>
      </c>
      <c r="G83" s="4">
        <f t="shared" si="2"/>
        <v>1843.6000000000001</v>
      </c>
    </row>
    <row r="84" spans="1:8" x14ac:dyDescent="0.35">
      <c r="A84" s="2">
        <v>8</v>
      </c>
      <c r="B84" t="s">
        <v>88</v>
      </c>
      <c r="C84" s="1" t="s">
        <v>9</v>
      </c>
      <c r="D84" s="4">
        <v>614.4</v>
      </c>
      <c r="E84" s="4">
        <v>613.29999999999995</v>
      </c>
      <c r="F84" s="4">
        <v>615.29999999999995</v>
      </c>
      <c r="G84" s="4">
        <f t="shared" si="2"/>
        <v>1842.9999999999998</v>
      </c>
    </row>
    <row r="85" spans="1:8" x14ac:dyDescent="0.35">
      <c r="A85" s="2">
        <v>9</v>
      </c>
      <c r="B85" t="s">
        <v>89</v>
      </c>
      <c r="C85" s="1" t="s">
        <v>9</v>
      </c>
      <c r="D85" s="4">
        <v>613.79999999999995</v>
      </c>
      <c r="E85" s="4">
        <v>611.5</v>
      </c>
      <c r="F85" s="4">
        <v>616.9</v>
      </c>
      <c r="G85" s="4">
        <f t="shared" si="2"/>
        <v>1842.1999999999998</v>
      </c>
    </row>
    <row r="86" spans="1:8" x14ac:dyDescent="0.35">
      <c r="A86" s="2">
        <v>10</v>
      </c>
      <c r="B86" t="s">
        <v>90</v>
      </c>
      <c r="C86" s="1" t="s">
        <v>9</v>
      </c>
      <c r="D86" s="4">
        <v>611</v>
      </c>
      <c r="E86" s="4">
        <v>615.1</v>
      </c>
      <c r="F86" s="4">
        <v>610.79999999999995</v>
      </c>
      <c r="G86" s="4">
        <f t="shared" si="2"/>
        <v>1836.8999999999999</v>
      </c>
    </row>
    <row r="87" spans="1:8" x14ac:dyDescent="0.35">
      <c r="A87" s="2">
        <v>11</v>
      </c>
      <c r="B87" t="s">
        <v>91</v>
      </c>
      <c r="C87" s="1" t="s">
        <v>9</v>
      </c>
      <c r="D87" s="4">
        <v>610.20000000000005</v>
      </c>
      <c r="E87" s="4">
        <v>606.79999999999995</v>
      </c>
      <c r="F87" s="4">
        <v>616.29999999999995</v>
      </c>
      <c r="G87" s="4">
        <f t="shared" si="2"/>
        <v>1833.3</v>
      </c>
    </row>
    <row r="88" spans="1:8" x14ac:dyDescent="0.35">
      <c r="A88" s="2">
        <v>12</v>
      </c>
      <c r="B88" t="s">
        <v>92</v>
      </c>
      <c r="C88" s="1" t="s">
        <v>9</v>
      </c>
      <c r="D88" s="4">
        <v>607.1</v>
      </c>
      <c r="E88" s="4">
        <v>609.20000000000005</v>
      </c>
      <c r="F88" s="4">
        <v>614.4</v>
      </c>
      <c r="G88" s="4">
        <f t="shared" si="2"/>
        <v>1830.7000000000003</v>
      </c>
    </row>
    <row r="89" spans="1:8" x14ac:dyDescent="0.35">
      <c r="A89" s="2">
        <v>13</v>
      </c>
      <c r="B89" t="s">
        <v>93</v>
      </c>
      <c r="C89" s="1" t="s">
        <v>13</v>
      </c>
      <c r="D89" s="4">
        <v>611.6</v>
      </c>
      <c r="E89" s="4">
        <v>609.1</v>
      </c>
      <c r="F89" s="4">
        <v>608.20000000000005</v>
      </c>
      <c r="G89" s="4">
        <f t="shared" si="2"/>
        <v>1828.9</v>
      </c>
      <c r="H89" s="5" t="s">
        <v>36</v>
      </c>
    </row>
    <row r="90" spans="1:8" x14ac:dyDescent="0.35">
      <c r="A90" s="2">
        <v>14</v>
      </c>
      <c r="B90" t="s">
        <v>94</v>
      </c>
      <c r="C90" s="1" t="s">
        <v>9</v>
      </c>
      <c r="D90" s="4">
        <v>613.20000000000005</v>
      </c>
      <c r="E90" s="4">
        <v>609.70000000000005</v>
      </c>
      <c r="F90" s="4">
        <v>605.20000000000005</v>
      </c>
      <c r="G90" s="4">
        <f t="shared" si="2"/>
        <v>1828.1000000000001</v>
      </c>
    </row>
    <row r="91" spans="1:8" x14ac:dyDescent="0.35">
      <c r="A91" s="2">
        <v>15</v>
      </c>
      <c r="B91" t="s">
        <v>95</v>
      </c>
      <c r="C91" s="1" t="s">
        <v>9</v>
      </c>
      <c r="D91" s="4">
        <v>605.4</v>
      </c>
      <c r="E91" s="4">
        <v>612.5</v>
      </c>
      <c r="F91" s="4">
        <v>608.20000000000005</v>
      </c>
      <c r="G91" s="4">
        <f t="shared" si="2"/>
        <v>1826.1000000000001</v>
      </c>
    </row>
    <row r="92" spans="1:8" x14ac:dyDescent="0.35">
      <c r="A92" s="2">
        <v>16</v>
      </c>
      <c r="B92" t="s">
        <v>96</v>
      </c>
      <c r="C92" s="1" t="s">
        <v>9</v>
      </c>
      <c r="D92" s="4">
        <v>609.6</v>
      </c>
      <c r="E92" s="4">
        <v>608.20000000000005</v>
      </c>
      <c r="F92" s="4">
        <v>606.5</v>
      </c>
      <c r="G92" s="4">
        <f t="shared" si="2"/>
        <v>1824.3000000000002</v>
      </c>
    </row>
    <row r="93" spans="1:8" x14ac:dyDescent="0.35">
      <c r="A93" s="2">
        <v>17</v>
      </c>
      <c r="B93" t="s">
        <v>97</v>
      </c>
      <c r="C93" s="1" t="s">
        <v>9</v>
      </c>
      <c r="D93" s="4">
        <v>611.20000000000005</v>
      </c>
      <c r="E93" s="4">
        <v>608.4</v>
      </c>
      <c r="F93" s="4">
        <v>604.29999999999995</v>
      </c>
      <c r="G93" s="4">
        <f t="shared" si="2"/>
        <v>1823.8999999999999</v>
      </c>
    </row>
    <row r="94" spans="1:8" x14ac:dyDescent="0.35">
      <c r="A94" s="2">
        <v>18</v>
      </c>
      <c r="B94" t="s">
        <v>98</v>
      </c>
      <c r="C94" s="1" t="s">
        <v>9</v>
      </c>
      <c r="D94" s="4">
        <v>609.29999999999995</v>
      </c>
      <c r="E94" s="4">
        <v>604</v>
      </c>
      <c r="F94" s="4">
        <v>610.4</v>
      </c>
      <c r="G94" s="4">
        <f t="shared" si="2"/>
        <v>1823.6999999999998</v>
      </c>
    </row>
    <row r="95" spans="1:8" x14ac:dyDescent="0.35">
      <c r="A95" s="2">
        <v>19</v>
      </c>
      <c r="B95" t="s">
        <v>99</v>
      </c>
      <c r="C95" s="1" t="s">
        <v>9</v>
      </c>
      <c r="D95" s="4">
        <v>610.29999999999995</v>
      </c>
      <c r="E95" s="4">
        <v>604.29999999999995</v>
      </c>
      <c r="F95" s="4">
        <v>606.6</v>
      </c>
      <c r="G95" s="4">
        <f t="shared" si="2"/>
        <v>1821.1999999999998</v>
      </c>
    </row>
    <row r="96" spans="1:8" x14ac:dyDescent="0.35">
      <c r="A96" s="2">
        <v>20</v>
      </c>
      <c r="B96" t="s">
        <v>100</v>
      </c>
      <c r="C96" s="1" t="s">
        <v>9</v>
      </c>
      <c r="D96" s="4">
        <v>605.4</v>
      </c>
      <c r="E96" s="4">
        <v>605.1</v>
      </c>
      <c r="F96" s="4">
        <v>610.5</v>
      </c>
      <c r="G96" s="4">
        <f t="shared" si="2"/>
        <v>1821</v>
      </c>
    </row>
    <row r="97" spans="1:8" x14ac:dyDescent="0.35">
      <c r="A97" s="2">
        <v>21</v>
      </c>
      <c r="B97" t="s">
        <v>101</v>
      </c>
      <c r="C97" s="1" t="s">
        <v>9</v>
      </c>
      <c r="D97" s="4">
        <v>612.1</v>
      </c>
      <c r="E97" s="4">
        <v>599.1</v>
      </c>
      <c r="F97" s="4">
        <v>609.20000000000005</v>
      </c>
      <c r="G97" s="4">
        <f t="shared" si="2"/>
        <v>1820.4</v>
      </c>
    </row>
    <row r="98" spans="1:8" x14ac:dyDescent="0.35">
      <c r="A98" s="2">
        <v>22</v>
      </c>
      <c r="B98" t="s">
        <v>102</v>
      </c>
      <c r="C98" s="1" t="s">
        <v>13</v>
      </c>
      <c r="D98" s="4">
        <v>603.4</v>
      </c>
      <c r="E98" s="4">
        <v>610.70000000000005</v>
      </c>
      <c r="F98" s="4">
        <v>605.70000000000005</v>
      </c>
      <c r="G98" s="4">
        <f t="shared" si="2"/>
        <v>1819.8</v>
      </c>
      <c r="H98" s="6" t="s">
        <v>39</v>
      </c>
    </row>
    <row r="99" spans="1:8" x14ac:dyDescent="0.35">
      <c r="A99" s="2">
        <v>23</v>
      </c>
      <c r="B99" t="s">
        <v>103</v>
      </c>
      <c r="C99" s="1" t="s">
        <v>9</v>
      </c>
      <c r="D99" s="4">
        <v>606.79999999999995</v>
      </c>
      <c r="E99" s="4">
        <v>602.5</v>
      </c>
      <c r="F99" s="4">
        <v>610.1</v>
      </c>
      <c r="G99" s="4">
        <f t="shared" si="2"/>
        <v>1819.4</v>
      </c>
    </row>
    <row r="100" spans="1:8" x14ac:dyDescent="0.35">
      <c r="A100" s="2">
        <v>24</v>
      </c>
      <c r="B100" t="s">
        <v>104</v>
      </c>
      <c r="C100" s="1" t="s">
        <v>9</v>
      </c>
      <c r="D100" s="4">
        <v>602.6</v>
      </c>
      <c r="E100" s="4">
        <v>608.20000000000005</v>
      </c>
      <c r="F100" s="4">
        <v>608.5</v>
      </c>
      <c r="G100" s="4">
        <f t="shared" si="2"/>
        <v>1819.3000000000002</v>
      </c>
    </row>
    <row r="101" spans="1:8" x14ac:dyDescent="0.35">
      <c r="A101" s="2">
        <v>25</v>
      </c>
      <c r="B101" t="s">
        <v>105</v>
      </c>
      <c r="C101" s="1" t="s">
        <v>9</v>
      </c>
      <c r="D101" s="4">
        <v>606.79999999999995</v>
      </c>
      <c r="E101" s="4">
        <v>606.1</v>
      </c>
      <c r="F101" s="4">
        <v>605.5</v>
      </c>
      <c r="G101" s="4">
        <f t="shared" si="2"/>
        <v>1818.4</v>
      </c>
    </row>
    <row r="102" spans="1:8" x14ac:dyDescent="0.35">
      <c r="A102" s="2">
        <v>26</v>
      </c>
      <c r="B102" t="s">
        <v>106</v>
      </c>
      <c r="C102" s="1" t="s">
        <v>13</v>
      </c>
      <c r="D102" s="4">
        <v>602.4</v>
      </c>
      <c r="E102" s="4">
        <v>605.4</v>
      </c>
      <c r="F102" s="4">
        <v>604</v>
      </c>
      <c r="G102" s="4">
        <f t="shared" si="2"/>
        <v>1811.8</v>
      </c>
      <c r="H102" s="7" t="s">
        <v>41</v>
      </c>
    </row>
    <row r="103" spans="1:8" x14ac:dyDescent="0.35">
      <c r="A103" s="2">
        <v>27</v>
      </c>
      <c r="B103" t="s">
        <v>107</v>
      </c>
      <c r="C103" s="1" t="s">
        <v>9</v>
      </c>
      <c r="D103" s="4">
        <v>601.4</v>
      </c>
      <c r="E103" s="4">
        <v>602.4</v>
      </c>
      <c r="F103" s="4">
        <v>607.70000000000005</v>
      </c>
      <c r="G103" s="4">
        <f t="shared" si="2"/>
        <v>1811.5</v>
      </c>
    </row>
    <row r="104" spans="1:8" x14ac:dyDescent="0.35">
      <c r="A104" s="2">
        <v>28</v>
      </c>
      <c r="B104" t="s">
        <v>108</v>
      </c>
      <c r="C104" s="1" t="s">
        <v>9</v>
      </c>
      <c r="D104" s="4">
        <v>603.9</v>
      </c>
      <c r="E104" s="4">
        <v>600.6</v>
      </c>
      <c r="F104" s="4">
        <v>604.5</v>
      </c>
      <c r="G104" s="4">
        <f t="shared" si="2"/>
        <v>1809</v>
      </c>
    </row>
    <row r="105" spans="1:8" x14ac:dyDescent="0.35">
      <c r="A105" s="2">
        <v>29</v>
      </c>
      <c r="B105" t="s">
        <v>109</v>
      </c>
      <c r="C105" s="1" t="s">
        <v>9</v>
      </c>
      <c r="D105" s="4">
        <v>606.5</v>
      </c>
      <c r="E105" s="4">
        <v>598.6</v>
      </c>
      <c r="F105" s="4">
        <v>603.1</v>
      </c>
      <c r="G105" s="4">
        <f t="shared" si="2"/>
        <v>1808.1999999999998</v>
      </c>
    </row>
    <row r="106" spans="1:8" x14ac:dyDescent="0.35">
      <c r="A106" s="2">
        <v>30</v>
      </c>
      <c r="B106" t="s">
        <v>110</v>
      </c>
      <c r="C106" s="1" t="s">
        <v>9</v>
      </c>
      <c r="D106" s="4">
        <v>602.5</v>
      </c>
      <c r="E106" s="4">
        <v>602.9</v>
      </c>
      <c r="F106" s="4">
        <v>601.9</v>
      </c>
      <c r="G106" s="4">
        <f t="shared" si="2"/>
        <v>1807.3000000000002</v>
      </c>
    </row>
    <row r="107" spans="1:8" x14ac:dyDescent="0.35">
      <c r="A107" s="2">
        <v>31</v>
      </c>
      <c r="B107" t="s">
        <v>111</v>
      </c>
      <c r="C107" s="1" t="s">
        <v>9</v>
      </c>
      <c r="D107" s="4">
        <v>598.20000000000005</v>
      </c>
      <c r="E107" s="4">
        <v>604.70000000000005</v>
      </c>
      <c r="F107" s="4">
        <v>601.6</v>
      </c>
      <c r="G107" s="4">
        <f t="shared" si="2"/>
        <v>1804.5</v>
      </c>
    </row>
    <row r="108" spans="1:8" x14ac:dyDescent="0.35">
      <c r="A108" s="2">
        <v>32</v>
      </c>
      <c r="B108" t="s">
        <v>112</v>
      </c>
      <c r="C108" s="1" t="s">
        <v>9</v>
      </c>
      <c r="D108" s="4">
        <v>602.79999999999995</v>
      </c>
      <c r="E108" s="4">
        <v>594.5</v>
      </c>
      <c r="F108" s="4">
        <v>606.1</v>
      </c>
      <c r="G108" s="4">
        <f t="shared" si="2"/>
        <v>1803.4</v>
      </c>
    </row>
    <row r="109" spans="1:8" x14ac:dyDescent="0.35">
      <c r="A109" s="2">
        <v>33</v>
      </c>
      <c r="B109" t="s">
        <v>113</v>
      </c>
      <c r="C109" s="1" t="s">
        <v>9</v>
      </c>
      <c r="D109" s="4">
        <v>601.6</v>
      </c>
      <c r="E109" s="4">
        <v>605.20000000000005</v>
      </c>
      <c r="F109" s="4">
        <v>596.4</v>
      </c>
      <c r="G109" s="4">
        <f t="shared" si="2"/>
        <v>1803.2000000000003</v>
      </c>
    </row>
    <row r="110" spans="1:8" x14ac:dyDescent="0.35">
      <c r="A110" s="2">
        <v>34</v>
      </c>
      <c r="B110" t="s">
        <v>114</v>
      </c>
      <c r="C110" s="1" t="s">
        <v>13</v>
      </c>
      <c r="D110" s="4">
        <v>605.5</v>
      </c>
      <c r="E110" s="4">
        <v>602.9</v>
      </c>
      <c r="F110" s="4">
        <v>592.9</v>
      </c>
      <c r="G110" s="4">
        <f t="shared" si="2"/>
        <v>1801.3000000000002</v>
      </c>
    </row>
    <row r="111" spans="1:8" x14ac:dyDescent="0.35">
      <c r="A111" s="2">
        <v>35</v>
      </c>
      <c r="B111" t="s">
        <v>115</v>
      </c>
      <c r="C111" s="1" t="s">
        <v>13</v>
      </c>
      <c r="D111" s="4">
        <v>597.4</v>
      </c>
      <c r="E111" s="4">
        <v>596.9</v>
      </c>
      <c r="F111" s="4">
        <v>606.4</v>
      </c>
      <c r="G111" s="4">
        <f t="shared" si="2"/>
        <v>1800.6999999999998</v>
      </c>
    </row>
    <row r="112" spans="1:8" x14ac:dyDescent="0.35">
      <c r="A112" s="2">
        <v>36</v>
      </c>
      <c r="B112" t="s">
        <v>116</v>
      </c>
      <c r="C112" s="1" t="s">
        <v>13</v>
      </c>
      <c r="D112" s="4">
        <v>596.70000000000005</v>
      </c>
      <c r="E112" s="4">
        <v>603.79999999999995</v>
      </c>
      <c r="F112" s="4">
        <v>596.6</v>
      </c>
      <c r="G112" s="4">
        <f t="shared" si="2"/>
        <v>1797.1</v>
      </c>
    </row>
    <row r="113" spans="1:7" x14ac:dyDescent="0.35">
      <c r="A113" s="2">
        <v>37</v>
      </c>
      <c r="B113" t="s">
        <v>117</v>
      </c>
      <c r="C113" s="1" t="s">
        <v>9</v>
      </c>
      <c r="D113" s="4">
        <v>592.1</v>
      </c>
      <c r="E113" s="4">
        <v>603.1</v>
      </c>
      <c r="F113" s="4">
        <v>601.70000000000005</v>
      </c>
      <c r="G113" s="4">
        <f t="shared" si="2"/>
        <v>1796.9</v>
      </c>
    </row>
    <row r="114" spans="1:7" x14ac:dyDescent="0.35">
      <c r="A114" s="2">
        <v>38</v>
      </c>
      <c r="B114" t="s">
        <v>118</v>
      </c>
      <c r="C114" s="1" t="s">
        <v>9</v>
      </c>
      <c r="D114" s="4">
        <v>604.20000000000005</v>
      </c>
      <c r="E114" s="4">
        <v>586</v>
      </c>
      <c r="F114" s="4">
        <v>604.79999999999995</v>
      </c>
      <c r="G114" s="4">
        <f t="shared" si="2"/>
        <v>1795</v>
      </c>
    </row>
    <row r="115" spans="1:7" x14ac:dyDescent="0.35">
      <c r="A115" s="2">
        <v>39</v>
      </c>
      <c r="B115" t="s">
        <v>119</v>
      </c>
      <c r="C115" s="1" t="s">
        <v>9</v>
      </c>
      <c r="D115" s="4">
        <v>589.79999999999995</v>
      </c>
      <c r="E115" s="4">
        <v>604.70000000000005</v>
      </c>
      <c r="F115" s="4">
        <v>599.9</v>
      </c>
      <c r="G115" s="4">
        <f t="shared" si="2"/>
        <v>1794.4</v>
      </c>
    </row>
    <row r="116" spans="1:7" x14ac:dyDescent="0.35">
      <c r="A116" s="2">
        <v>40</v>
      </c>
      <c r="B116" t="s">
        <v>120</v>
      </c>
      <c r="C116" s="1" t="s">
        <v>13</v>
      </c>
      <c r="D116" s="4">
        <v>603.29999999999995</v>
      </c>
      <c r="E116" s="4">
        <v>595.1</v>
      </c>
      <c r="F116" s="4">
        <v>595.79999999999995</v>
      </c>
      <c r="G116" s="4">
        <f t="shared" si="2"/>
        <v>1794.2</v>
      </c>
    </row>
    <row r="117" spans="1:7" x14ac:dyDescent="0.35">
      <c r="A117" s="2">
        <v>41</v>
      </c>
      <c r="B117" t="s">
        <v>121</v>
      </c>
      <c r="C117" s="1" t="s">
        <v>9</v>
      </c>
      <c r="D117" s="4">
        <v>597.20000000000005</v>
      </c>
      <c r="E117" s="4">
        <v>588.4</v>
      </c>
      <c r="F117" s="4">
        <v>603.70000000000005</v>
      </c>
      <c r="G117" s="4">
        <f t="shared" si="2"/>
        <v>1789.3</v>
      </c>
    </row>
    <row r="118" spans="1:7" x14ac:dyDescent="0.35">
      <c r="A118" s="2">
        <v>42</v>
      </c>
      <c r="B118" t="s">
        <v>122</v>
      </c>
      <c r="C118" s="1" t="s">
        <v>9</v>
      </c>
      <c r="D118" s="4">
        <v>588.5</v>
      </c>
      <c r="E118" s="4">
        <v>605</v>
      </c>
      <c r="F118" s="4">
        <v>595.20000000000005</v>
      </c>
      <c r="G118" s="4">
        <f t="shared" si="2"/>
        <v>1788.7</v>
      </c>
    </row>
    <row r="119" spans="1:7" x14ac:dyDescent="0.35">
      <c r="A119" s="2">
        <v>43</v>
      </c>
      <c r="B119" t="s">
        <v>123</v>
      </c>
      <c r="C119" s="1" t="s">
        <v>13</v>
      </c>
      <c r="D119" s="4">
        <v>592.6</v>
      </c>
      <c r="E119" s="4">
        <v>600.70000000000005</v>
      </c>
      <c r="F119" s="4">
        <v>593.9</v>
      </c>
      <c r="G119" s="4">
        <f t="shared" si="2"/>
        <v>1787.2000000000003</v>
      </c>
    </row>
    <row r="120" spans="1:7" x14ac:dyDescent="0.35">
      <c r="A120" s="2">
        <v>44</v>
      </c>
      <c r="B120" t="s">
        <v>124</v>
      </c>
      <c r="C120" s="1" t="s">
        <v>9</v>
      </c>
      <c r="D120" s="4">
        <v>591.1</v>
      </c>
      <c r="E120" s="4">
        <v>590.6</v>
      </c>
      <c r="F120" s="4">
        <v>603.6</v>
      </c>
      <c r="G120" s="4">
        <f t="shared" si="2"/>
        <v>1785.3000000000002</v>
      </c>
    </row>
    <row r="121" spans="1:7" x14ac:dyDescent="0.35">
      <c r="A121" s="2">
        <v>45</v>
      </c>
      <c r="B121" t="s">
        <v>125</v>
      </c>
      <c r="C121" s="1" t="s">
        <v>13</v>
      </c>
      <c r="D121" s="4">
        <v>593.9</v>
      </c>
      <c r="E121" s="4">
        <v>596.6</v>
      </c>
      <c r="F121" s="4">
        <v>593.79999999999995</v>
      </c>
      <c r="G121" s="4">
        <f t="shared" si="2"/>
        <v>1784.3</v>
      </c>
    </row>
    <row r="122" spans="1:7" x14ac:dyDescent="0.35">
      <c r="A122" s="2">
        <v>46</v>
      </c>
      <c r="B122" t="s">
        <v>126</v>
      </c>
      <c r="C122" s="1" t="s">
        <v>9</v>
      </c>
      <c r="D122" s="4">
        <v>582.6</v>
      </c>
      <c r="E122" s="4">
        <v>602.4</v>
      </c>
      <c r="F122" s="4">
        <v>599.1</v>
      </c>
      <c r="G122" s="4">
        <f t="shared" si="2"/>
        <v>1784.1</v>
      </c>
    </row>
    <row r="123" spans="1:7" x14ac:dyDescent="0.35">
      <c r="A123" s="2">
        <v>47</v>
      </c>
      <c r="B123" t="s">
        <v>127</v>
      </c>
      <c r="C123" s="1" t="s">
        <v>9</v>
      </c>
      <c r="D123" s="4">
        <v>594.79999999999995</v>
      </c>
      <c r="E123" s="4">
        <v>585.1</v>
      </c>
      <c r="F123" s="4">
        <v>602.6</v>
      </c>
      <c r="G123" s="4">
        <f t="shared" si="2"/>
        <v>1782.5</v>
      </c>
    </row>
    <row r="124" spans="1:7" x14ac:dyDescent="0.35">
      <c r="A124" s="2">
        <v>48</v>
      </c>
      <c r="B124" t="s">
        <v>128</v>
      </c>
      <c r="C124" s="1" t="s">
        <v>9</v>
      </c>
      <c r="D124" s="4">
        <v>592.29999999999995</v>
      </c>
      <c r="E124" s="4">
        <v>589.4</v>
      </c>
      <c r="F124" s="4">
        <v>595.79999999999995</v>
      </c>
      <c r="G124" s="4">
        <f t="shared" si="2"/>
        <v>1777.4999999999998</v>
      </c>
    </row>
    <row r="125" spans="1:7" x14ac:dyDescent="0.35">
      <c r="A125" s="2">
        <v>49</v>
      </c>
      <c r="B125" t="s">
        <v>129</v>
      </c>
      <c r="C125" s="1" t="s">
        <v>9</v>
      </c>
      <c r="D125" s="4">
        <v>593.79999999999995</v>
      </c>
      <c r="E125" s="4">
        <v>587.20000000000005</v>
      </c>
      <c r="F125" s="4">
        <v>596.20000000000005</v>
      </c>
      <c r="G125" s="4">
        <f t="shared" si="2"/>
        <v>1777.2</v>
      </c>
    </row>
    <row r="126" spans="1:7" x14ac:dyDescent="0.35">
      <c r="A126" s="2">
        <v>50</v>
      </c>
      <c r="B126" t="s">
        <v>130</v>
      </c>
      <c r="C126" s="1" t="s">
        <v>13</v>
      </c>
      <c r="D126" s="4">
        <v>599.70000000000005</v>
      </c>
      <c r="E126" s="4">
        <v>588.6</v>
      </c>
      <c r="F126" s="4">
        <v>588.6</v>
      </c>
      <c r="G126" s="4">
        <f t="shared" si="2"/>
        <v>1776.9</v>
      </c>
    </row>
    <row r="127" spans="1:7" x14ac:dyDescent="0.35">
      <c r="A127" s="2">
        <v>51</v>
      </c>
      <c r="B127" t="s">
        <v>131</v>
      </c>
      <c r="C127" s="1" t="s">
        <v>9</v>
      </c>
      <c r="D127" s="4">
        <v>593.70000000000005</v>
      </c>
      <c r="E127" s="4">
        <v>591.20000000000005</v>
      </c>
      <c r="F127" s="4">
        <v>591.1</v>
      </c>
      <c r="G127" s="4">
        <f t="shared" si="2"/>
        <v>1776</v>
      </c>
    </row>
    <row r="128" spans="1:7" x14ac:dyDescent="0.35">
      <c r="A128" s="2">
        <v>52</v>
      </c>
      <c r="B128" t="s">
        <v>132</v>
      </c>
      <c r="C128" s="1" t="s">
        <v>13</v>
      </c>
      <c r="D128" s="4">
        <v>590.1</v>
      </c>
      <c r="E128" s="4">
        <v>592.1</v>
      </c>
      <c r="F128" s="4">
        <v>587.70000000000005</v>
      </c>
      <c r="G128" s="4">
        <f t="shared" si="2"/>
        <v>1769.9</v>
      </c>
    </row>
    <row r="129" spans="1:7" x14ac:dyDescent="0.35">
      <c r="A129" s="2">
        <v>53</v>
      </c>
      <c r="B129" t="s">
        <v>133</v>
      </c>
      <c r="C129" s="1" t="s">
        <v>13</v>
      </c>
      <c r="D129" s="4">
        <v>588.1</v>
      </c>
      <c r="E129" s="4">
        <v>587.4</v>
      </c>
      <c r="F129" s="4">
        <v>594.20000000000005</v>
      </c>
      <c r="G129" s="4">
        <f t="shared" si="2"/>
        <v>1769.7</v>
      </c>
    </row>
    <row r="130" spans="1:7" x14ac:dyDescent="0.35">
      <c r="A130" s="2">
        <v>54</v>
      </c>
      <c r="B130" t="s">
        <v>134</v>
      </c>
      <c r="C130" s="1" t="s">
        <v>9</v>
      </c>
      <c r="D130" s="4">
        <v>606.70000000000005</v>
      </c>
      <c r="E130" s="4">
        <v>542.70000000000005</v>
      </c>
      <c r="F130" s="4">
        <v>616.4</v>
      </c>
      <c r="G130" s="4">
        <f t="shared" si="2"/>
        <v>1765.8000000000002</v>
      </c>
    </row>
    <row r="131" spans="1:7" x14ac:dyDescent="0.35">
      <c r="A131" s="2">
        <v>55</v>
      </c>
      <c r="B131" t="s">
        <v>135</v>
      </c>
      <c r="C131" s="1" t="s">
        <v>9</v>
      </c>
      <c r="D131" s="4">
        <v>577</v>
      </c>
      <c r="E131" s="4">
        <v>589.4</v>
      </c>
      <c r="F131" s="4">
        <v>595.5</v>
      </c>
      <c r="G131" s="4">
        <f t="shared" si="2"/>
        <v>1761.9</v>
      </c>
    </row>
    <row r="132" spans="1:7" x14ac:dyDescent="0.35">
      <c r="A132" s="2">
        <v>56</v>
      </c>
      <c r="B132" t="s">
        <v>136</v>
      </c>
      <c r="C132" s="1" t="s">
        <v>9</v>
      </c>
      <c r="D132" s="4">
        <v>567.1</v>
      </c>
      <c r="E132" s="4">
        <v>594.4</v>
      </c>
      <c r="F132" s="4">
        <v>599.29999999999995</v>
      </c>
      <c r="G132" s="4">
        <f t="shared" si="2"/>
        <v>1760.8</v>
      </c>
    </row>
    <row r="133" spans="1:7" x14ac:dyDescent="0.35">
      <c r="A133" s="2">
        <v>57</v>
      </c>
      <c r="B133" t="s">
        <v>137</v>
      </c>
      <c r="C133" s="1" t="s">
        <v>13</v>
      </c>
      <c r="D133" s="4">
        <v>582.1</v>
      </c>
      <c r="E133" s="4">
        <v>587</v>
      </c>
      <c r="F133" s="4">
        <v>588.5</v>
      </c>
      <c r="G133" s="4">
        <f t="shared" si="2"/>
        <v>1757.6</v>
      </c>
    </row>
    <row r="134" spans="1:7" x14ac:dyDescent="0.35">
      <c r="A134" s="2">
        <v>58</v>
      </c>
      <c r="B134" t="s">
        <v>138</v>
      </c>
      <c r="C134" s="1" t="s">
        <v>13</v>
      </c>
      <c r="D134" s="4">
        <v>578.1</v>
      </c>
      <c r="E134" s="4">
        <v>590.6</v>
      </c>
      <c r="F134" s="4">
        <v>587.20000000000005</v>
      </c>
      <c r="G134" s="4">
        <f t="shared" si="2"/>
        <v>1755.9</v>
      </c>
    </row>
    <row r="135" spans="1:7" x14ac:dyDescent="0.35">
      <c r="A135" s="2">
        <v>59</v>
      </c>
      <c r="B135" t="s">
        <v>139</v>
      </c>
      <c r="C135" s="1" t="s">
        <v>9</v>
      </c>
      <c r="D135" s="4">
        <v>588.1</v>
      </c>
      <c r="E135" s="4">
        <v>575.79999999999995</v>
      </c>
      <c r="F135" s="4">
        <v>591.6</v>
      </c>
      <c r="G135" s="4">
        <f t="shared" si="2"/>
        <v>1755.5</v>
      </c>
    </row>
    <row r="136" spans="1:7" x14ac:dyDescent="0.35">
      <c r="A136" s="2">
        <v>60</v>
      </c>
      <c r="B136" t="s">
        <v>140</v>
      </c>
      <c r="C136" s="1" t="s">
        <v>9</v>
      </c>
      <c r="D136" s="4">
        <v>582.70000000000005</v>
      </c>
      <c r="E136" s="4">
        <v>587</v>
      </c>
      <c r="F136" s="4">
        <v>585.70000000000005</v>
      </c>
      <c r="G136" s="4">
        <f t="shared" si="2"/>
        <v>1755.4</v>
      </c>
    </row>
    <row r="137" spans="1:7" x14ac:dyDescent="0.35">
      <c r="A137" s="2">
        <v>61</v>
      </c>
      <c r="B137" t="s">
        <v>141</v>
      </c>
      <c r="C137" s="1" t="s">
        <v>9</v>
      </c>
      <c r="D137" s="4">
        <v>584</v>
      </c>
      <c r="E137" s="4">
        <v>581.5</v>
      </c>
      <c r="F137" s="4">
        <v>587.6</v>
      </c>
      <c r="G137" s="4">
        <f t="shared" si="2"/>
        <v>1753.1</v>
      </c>
    </row>
    <row r="138" spans="1:7" x14ac:dyDescent="0.35">
      <c r="A138" s="2">
        <v>62</v>
      </c>
      <c r="B138" t="s">
        <v>142</v>
      </c>
      <c r="C138" s="1" t="s">
        <v>13</v>
      </c>
      <c r="D138" s="4">
        <v>585.29999999999995</v>
      </c>
      <c r="E138" s="4">
        <v>583.5</v>
      </c>
      <c r="F138" s="4">
        <v>583.6</v>
      </c>
      <c r="G138" s="4">
        <f t="shared" si="2"/>
        <v>1752.4</v>
      </c>
    </row>
    <row r="139" spans="1:7" x14ac:dyDescent="0.35">
      <c r="A139" s="2">
        <v>63</v>
      </c>
      <c r="B139" t="s">
        <v>143</v>
      </c>
      <c r="C139" s="1" t="s">
        <v>13</v>
      </c>
      <c r="D139" s="4">
        <v>574.1</v>
      </c>
      <c r="E139" s="4">
        <v>587.1</v>
      </c>
      <c r="F139" s="4">
        <v>586.5</v>
      </c>
      <c r="G139" s="4">
        <f t="shared" si="2"/>
        <v>1747.7</v>
      </c>
    </row>
    <row r="140" spans="1:7" x14ac:dyDescent="0.35">
      <c r="A140" s="2">
        <v>64</v>
      </c>
      <c r="B140" t="s">
        <v>144</v>
      </c>
      <c r="C140" s="1" t="s">
        <v>13</v>
      </c>
      <c r="D140" s="4">
        <v>584.5</v>
      </c>
      <c r="E140" s="4">
        <v>575.9</v>
      </c>
      <c r="F140" s="4">
        <v>582.1</v>
      </c>
      <c r="G140" s="4">
        <f t="shared" si="2"/>
        <v>1742.5</v>
      </c>
    </row>
    <row r="141" spans="1:7" x14ac:dyDescent="0.35">
      <c r="A141" s="2">
        <v>65</v>
      </c>
      <c r="B141" t="s">
        <v>145</v>
      </c>
      <c r="C141" s="1" t="s">
        <v>13</v>
      </c>
      <c r="D141" s="4">
        <v>575.70000000000005</v>
      </c>
      <c r="E141" s="4">
        <v>583.6</v>
      </c>
      <c r="F141" s="4">
        <v>579.5</v>
      </c>
      <c r="G141" s="4">
        <f t="shared" ref="G141:G151" si="3">SUM(D141:F141)</f>
        <v>1738.8000000000002</v>
      </c>
    </row>
    <row r="142" spans="1:7" x14ac:dyDescent="0.35">
      <c r="A142" s="2">
        <v>66</v>
      </c>
      <c r="B142" t="s">
        <v>146</v>
      </c>
      <c r="C142" s="1" t="s">
        <v>9</v>
      </c>
      <c r="D142" s="4">
        <v>576.79999999999995</v>
      </c>
      <c r="E142" s="4">
        <v>583.1</v>
      </c>
      <c r="F142" s="4">
        <v>575.6</v>
      </c>
      <c r="G142" s="4">
        <f t="shared" si="3"/>
        <v>1735.5</v>
      </c>
    </row>
    <row r="143" spans="1:7" x14ac:dyDescent="0.35">
      <c r="A143" s="2">
        <v>67</v>
      </c>
      <c r="B143" t="s">
        <v>147</v>
      </c>
      <c r="C143" s="1" t="s">
        <v>9</v>
      </c>
      <c r="D143" s="4">
        <v>580.5</v>
      </c>
      <c r="E143" s="4">
        <v>573.1</v>
      </c>
      <c r="F143" s="4">
        <v>579.9</v>
      </c>
      <c r="G143" s="4">
        <f t="shared" si="3"/>
        <v>1733.5</v>
      </c>
    </row>
    <row r="144" spans="1:7" x14ac:dyDescent="0.35">
      <c r="A144" s="2">
        <v>68</v>
      </c>
      <c r="B144" t="s">
        <v>148</v>
      </c>
      <c r="C144" s="1" t="s">
        <v>9</v>
      </c>
      <c r="D144" s="4">
        <v>557.70000000000005</v>
      </c>
      <c r="E144" s="4">
        <v>581.9</v>
      </c>
      <c r="F144" s="4">
        <v>573.4</v>
      </c>
      <c r="G144" s="4">
        <f t="shared" si="3"/>
        <v>1713</v>
      </c>
    </row>
    <row r="145" spans="1:8" x14ac:dyDescent="0.35">
      <c r="A145" s="2">
        <v>69</v>
      </c>
      <c r="B145" t="s">
        <v>149</v>
      </c>
      <c r="C145" s="1" t="s">
        <v>13</v>
      </c>
      <c r="D145" s="4">
        <v>578.5</v>
      </c>
      <c r="E145" s="4">
        <v>561.9</v>
      </c>
      <c r="F145" s="4">
        <v>562.4</v>
      </c>
      <c r="G145" s="4">
        <f t="shared" si="3"/>
        <v>1702.8000000000002</v>
      </c>
    </row>
    <row r="146" spans="1:8" x14ac:dyDescent="0.35">
      <c r="A146" s="2">
        <v>70</v>
      </c>
      <c r="B146" t="s">
        <v>150</v>
      </c>
      <c r="C146" s="1" t="s">
        <v>9</v>
      </c>
      <c r="D146" s="4">
        <v>572</v>
      </c>
      <c r="E146" s="4">
        <v>557.20000000000005</v>
      </c>
      <c r="F146" s="4">
        <v>570.9</v>
      </c>
      <c r="G146" s="4">
        <f t="shared" si="3"/>
        <v>1700.1</v>
      </c>
    </row>
    <row r="147" spans="1:8" x14ac:dyDescent="0.35">
      <c r="A147" s="2">
        <v>71</v>
      </c>
      <c r="B147" t="s">
        <v>151</v>
      </c>
      <c r="C147" s="1" t="s">
        <v>9</v>
      </c>
      <c r="D147" s="4">
        <v>557.79999999999995</v>
      </c>
      <c r="E147" s="4">
        <v>570.5</v>
      </c>
      <c r="F147" s="4">
        <v>562.5</v>
      </c>
      <c r="G147" s="4">
        <f t="shared" si="3"/>
        <v>1690.8</v>
      </c>
    </row>
    <row r="148" spans="1:8" x14ac:dyDescent="0.35">
      <c r="A148" s="2">
        <v>72</v>
      </c>
      <c r="B148" t="s">
        <v>152</v>
      </c>
      <c r="C148" s="1" t="s">
        <v>13</v>
      </c>
      <c r="D148" s="4">
        <v>553.9</v>
      </c>
      <c r="E148" s="4">
        <v>545.79999999999995</v>
      </c>
      <c r="F148" s="4">
        <v>565.9</v>
      </c>
      <c r="G148" s="4">
        <f t="shared" si="3"/>
        <v>1665.6</v>
      </c>
    </row>
    <row r="149" spans="1:8" x14ac:dyDescent="0.35">
      <c r="A149" s="2">
        <v>73</v>
      </c>
      <c r="B149" t="s">
        <v>153</v>
      </c>
      <c r="C149" s="1" t="s">
        <v>13</v>
      </c>
      <c r="D149" s="4">
        <v>543.1</v>
      </c>
      <c r="E149" s="4">
        <v>548.4</v>
      </c>
      <c r="F149" s="4">
        <v>546.5</v>
      </c>
      <c r="G149" s="4">
        <f t="shared" si="3"/>
        <v>1638</v>
      </c>
    </row>
    <row r="150" spans="1:8" x14ac:dyDescent="0.35">
      <c r="A150" s="2">
        <v>74</v>
      </c>
      <c r="B150" t="s">
        <v>154</v>
      </c>
      <c r="C150" s="1" t="s">
        <v>9</v>
      </c>
      <c r="D150" s="4">
        <v>532.9</v>
      </c>
      <c r="E150" s="4">
        <v>555.20000000000005</v>
      </c>
      <c r="F150" s="4">
        <v>545.79999999999995</v>
      </c>
      <c r="G150" s="4">
        <f t="shared" si="3"/>
        <v>1633.8999999999999</v>
      </c>
    </row>
    <row r="151" spans="1:8" x14ac:dyDescent="0.35">
      <c r="A151" s="2">
        <v>75</v>
      </c>
      <c r="B151" t="s">
        <v>155</v>
      </c>
      <c r="C151" s="1" t="s">
        <v>13</v>
      </c>
      <c r="D151" s="4">
        <v>518.5</v>
      </c>
      <c r="E151" s="4">
        <v>556.6</v>
      </c>
      <c r="F151" s="4">
        <v>541.5</v>
      </c>
      <c r="G151" s="4">
        <f t="shared" si="3"/>
        <v>1616.6</v>
      </c>
    </row>
    <row r="152" spans="1:8" x14ac:dyDescent="0.35">
      <c r="D152" s="4"/>
      <c r="E152" s="4"/>
      <c r="F152" s="4"/>
      <c r="G152" s="4"/>
    </row>
    <row r="153" spans="1:8" x14ac:dyDescent="0.35">
      <c r="A153" s="2" t="str">
        <f>"U15"</f>
        <v>U15</v>
      </c>
    </row>
    <row r="154" spans="1:8" x14ac:dyDescent="0.35">
      <c r="A154" s="2">
        <v>1</v>
      </c>
      <c r="B154" t="s">
        <v>156</v>
      </c>
      <c r="C154" s="1" t="s">
        <v>13</v>
      </c>
      <c r="D154" s="4">
        <v>610.70000000000005</v>
      </c>
      <c r="E154" s="4">
        <v>612</v>
      </c>
      <c r="F154" s="4">
        <v>618</v>
      </c>
      <c r="G154" s="4">
        <f t="shared" ref="G154:G174" si="4">SUM(D154:F154)</f>
        <v>1840.7</v>
      </c>
      <c r="H154" s="5" t="s">
        <v>36</v>
      </c>
    </row>
    <row r="155" spans="1:8" x14ac:dyDescent="0.35">
      <c r="A155" s="2">
        <v>2</v>
      </c>
      <c r="B155" t="s">
        <v>157</v>
      </c>
      <c r="C155" s="1" t="s">
        <v>9</v>
      </c>
      <c r="D155" s="4">
        <v>609.70000000000005</v>
      </c>
      <c r="E155" s="4">
        <v>605.9</v>
      </c>
      <c r="F155" s="4">
        <v>611.70000000000005</v>
      </c>
      <c r="G155" s="4">
        <f t="shared" si="4"/>
        <v>1827.3</v>
      </c>
      <c r="H155" s="5" t="s">
        <v>36</v>
      </c>
    </row>
    <row r="156" spans="1:8" x14ac:dyDescent="0.35">
      <c r="A156" s="2">
        <v>3</v>
      </c>
      <c r="B156" t="s">
        <v>158</v>
      </c>
      <c r="C156" s="1" t="s">
        <v>9</v>
      </c>
      <c r="D156" s="4">
        <v>602.29999999999995</v>
      </c>
      <c r="E156" s="4">
        <v>597.29999999999995</v>
      </c>
      <c r="F156" s="4">
        <v>605.1</v>
      </c>
      <c r="G156" s="4">
        <f t="shared" si="4"/>
        <v>1804.6999999999998</v>
      </c>
      <c r="H156" s="6" t="s">
        <v>39</v>
      </c>
    </row>
    <row r="157" spans="1:8" x14ac:dyDescent="0.35">
      <c r="A157" s="2">
        <v>4</v>
      </c>
      <c r="B157" t="s">
        <v>159</v>
      </c>
      <c r="C157" s="1" t="s">
        <v>9</v>
      </c>
      <c r="D157" s="4">
        <v>593</v>
      </c>
      <c r="E157" s="4">
        <v>603</v>
      </c>
      <c r="F157" s="4">
        <v>599.6</v>
      </c>
      <c r="G157" s="4">
        <f t="shared" si="4"/>
        <v>1795.6</v>
      </c>
      <c r="H157" s="7" t="s">
        <v>41</v>
      </c>
    </row>
    <row r="158" spans="1:8" x14ac:dyDescent="0.35">
      <c r="A158" s="2">
        <v>5</v>
      </c>
      <c r="B158" t="s">
        <v>160</v>
      </c>
      <c r="C158" s="1" t="s">
        <v>9</v>
      </c>
      <c r="D158" s="4">
        <v>593.5</v>
      </c>
      <c r="E158" s="4">
        <v>598.79999999999995</v>
      </c>
      <c r="F158" s="4">
        <v>602.5</v>
      </c>
      <c r="G158" s="4">
        <f t="shared" si="4"/>
        <v>1794.8</v>
      </c>
    </row>
    <row r="159" spans="1:8" x14ac:dyDescent="0.35">
      <c r="A159" s="2">
        <v>6</v>
      </c>
      <c r="B159" t="s">
        <v>161</v>
      </c>
      <c r="C159" s="1" t="s">
        <v>9</v>
      </c>
      <c r="D159" s="4">
        <v>593.4</v>
      </c>
      <c r="E159" s="4">
        <v>600.70000000000005</v>
      </c>
      <c r="F159" s="4">
        <v>598.1</v>
      </c>
      <c r="G159" s="4">
        <f t="shared" si="4"/>
        <v>1792.1999999999998</v>
      </c>
    </row>
    <row r="160" spans="1:8" x14ac:dyDescent="0.35">
      <c r="A160" s="2">
        <v>7</v>
      </c>
      <c r="B160" t="s">
        <v>162</v>
      </c>
      <c r="C160" s="1" t="s">
        <v>9</v>
      </c>
      <c r="D160" s="4">
        <v>588</v>
      </c>
      <c r="E160" s="4">
        <v>593.79999999999995</v>
      </c>
      <c r="F160" s="4">
        <v>597.6</v>
      </c>
      <c r="G160" s="4">
        <f t="shared" si="4"/>
        <v>1779.4</v>
      </c>
    </row>
    <row r="161" spans="1:8" x14ac:dyDescent="0.35">
      <c r="A161" s="2">
        <v>8</v>
      </c>
      <c r="B161" t="s">
        <v>163</v>
      </c>
      <c r="C161" s="1" t="s">
        <v>9</v>
      </c>
      <c r="D161" s="4">
        <v>586.29999999999995</v>
      </c>
      <c r="E161" s="4">
        <v>589.1</v>
      </c>
      <c r="F161" s="4">
        <v>594.79999999999995</v>
      </c>
      <c r="G161" s="4">
        <f t="shared" si="4"/>
        <v>1770.2</v>
      </c>
    </row>
    <row r="162" spans="1:8" x14ac:dyDescent="0.35">
      <c r="A162" s="2">
        <v>9</v>
      </c>
      <c r="B162" t="s">
        <v>164</v>
      </c>
      <c r="C162" s="1" t="s">
        <v>9</v>
      </c>
      <c r="D162" s="4">
        <v>583.20000000000005</v>
      </c>
      <c r="E162" s="4">
        <v>590</v>
      </c>
      <c r="F162" s="4">
        <v>595.1</v>
      </c>
      <c r="G162" s="4">
        <f t="shared" si="4"/>
        <v>1768.3000000000002</v>
      </c>
    </row>
    <row r="163" spans="1:8" x14ac:dyDescent="0.35">
      <c r="A163" s="2">
        <v>10</v>
      </c>
      <c r="B163" t="s">
        <v>165</v>
      </c>
      <c r="C163" s="1" t="s">
        <v>9</v>
      </c>
      <c r="D163" s="4">
        <v>578.6</v>
      </c>
      <c r="E163" s="4">
        <v>595.20000000000005</v>
      </c>
      <c r="F163" s="4">
        <v>592.20000000000005</v>
      </c>
      <c r="G163" s="4">
        <f t="shared" si="4"/>
        <v>1766.0000000000002</v>
      </c>
    </row>
    <row r="164" spans="1:8" x14ac:dyDescent="0.35">
      <c r="A164" s="2">
        <v>11</v>
      </c>
      <c r="B164" t="s">
        <v>166</v>
      </c>
      <c r="C164" s="1" t="s">
        <v>9</v>
      </c>
      <c r="D164" s="4">
        <v>586.20000000000005</v>
      </c>
      <c r="E164" s="4">
        <v>594.5</v>
      </c>
      <c r="F164" s="4">
        <v>581.5</v>
      </c>
      <c r="G164" s="4">
        <f t="shared" si="4"/>
        <v>1762.2</v>
      </c>
    </row>
    <row r="165" spans="1:8" x14ac:dyDescent="0.35">
      <c r="A165" s="2">
        <v>12</v>
      </c>
      <c r="B165" t="s">
        <v>167</v>
      </c>
      <c r="C165" s="1" t="s">
        <v>9</v>
      </c>
      <c r="D165" s="4">
        <v>578.29999999999995</v>
      </c>
      <c r="E165" s="4">
        <v>586.20000000000005</v>
      </c>
      <c r="F165" s="4">
        <v>579.4</v>
      </c>
      <c r="G165" s="4">
        <f t="shared" si="4"/>
        <v>1743.9</v>
      </c>
    </row>
    <row r="166" spans="1:8" x14ac:dyDescent="0.35">
      <c r="A166" s="2">
        <v>13</v>
      </c>
      <c r="B166" t="s">
        <v>168</v>
      </c>
      <c r="C166" s="1" t="s">
        <v>9</v>
      </c>
      <c r="D166" s="4">
        <v>573.6</v>
      </c>
      <c r="E166" s="4">
        <v>584.20000000000005</v>
      </c>
      <c r="F166" s="4">
        <v>584.29999999999995</v>
      </c>
      <c r="G166" s="4">
        <f t="shared" si="4"/>
        <v>1742.1000000000001</v>
      </c>
    </row>
    <row r="167" spans="1:8" x14ac:dyDescent="0.35">
      <c r="A167" s="2">
        <v>13</v>
      </c>
      <c r="B167" t="s">
        <v>169</v>
      </c>
      <c r="C167" s="1" t="s">
        <v>13</v>
      </c>
      <c r="D167" s="4">
        <v>561.29999999999995</v>
      </c>
      <c r="E167" s="4">
        <v>588.20000000000005</v>
      </c>
      <c r="F167" s="4">
        <v>589.20000000000005</v>
      </c>
      <c r="G167" s="4">
        <f t="shared" si="4"/>
        <v>1738.7</v>
      </c>
      <c r="H167" s="6" t="s">
        <v>39</v>
      </c>
    </row>
    <row r="168" spans="1:8" x14ac:dyDescent="0.35">
      <c r="A168" s="2">
        <v>14</v>
      </c>
      <c r="B168" t="s">
        <v>170</v>
      </c>
      <c r="C168" s="1" t="s">
        <v>9</v>
      </c>
      <c r="D168" s="4">
        <v>567.70000000000005</v>
      </c>
      <c r="E168" s="4">
        <v>576.70000000000005</v>
      </c>
      <c r="F168" s="4">
        <v>584.5</v>
      </c>
      <c r="G168" s="4">
        <f t="shared" si="4"/>
        <v>1728.9</v>
      </c>
    </row>
    <row r="169" spans="1:8" x14ac:dyDescent="0.35">
      <c r="A169" s="2">
        <v>15</v>
      </c>
      <c r="B169" t="s">
        <v>171</v>
      </c>
      <c r="C169" s="1" t="s">
        <v>9</v>
      </c>
      <c r="D169" s="4">
        <v>549.70000000000005</v>
      </c>
      <c r="E169" s="4">
        <v>575.5</v>
      </c>
      <c r="F169" s="4">
        <v>572.9</v>
      </c>
      <c r="G169" s="4">
        <f t="shared" si="4"/>
        <v>1698.1</v>
      </c>
    </row>
    <row r="170" spans="1:8" x14ac:dyDescent="0.35">
      <c r="A170" s="2">
        <v>16</v>
      </c>
      <c r="B170" t="s">
        <v>172</v>
      </c>
      <c r="C170" s="1" t="s">
        <v>9</v>
      </c>
      <c r="D170" s="4">
        <v>545.79999999999995</v>
      </c>
      <c r="E170" s="4">
        <v>558.79999999999995</v>
      </c>
      <c r="F170" s="4">
        <v>578.6</v>
      </c>
      <c r="G170" s="4">
        <f t="shared" si="4"/>
        <v>1683.1999999999998</v>
      </c>
    </row>
    <row r="171" spans="1:8" x14ac:dyDescent="0.35">
      <c r="A171" s="2">
        <v>17</v>
      </c>
      <c r="B171" t="s">
        <v>173</v>
      </c>
      <c r="C171" s="1" t="s">
        <v>9</v>
      </c>
      <c r="D171" s="4">
        <v>552.4</v>
      </c>
      <c r="E171" s="4">
        <v>553.20000000000005</v>
      </c>
      <c r="F171" s="4">
        <v>546.5</v>
      </c>
      <c r="G171" s="4">
        <f t="shared" si="4"/>
        <v>1652.1</v>
      </c>
    </row>
    <row r="172" spans="1:8" x14ac:dyDescent="0.35">
      <c r="A172" s="2">
        <v>18</v>
      </c>
      <c r="B172" t="s">
        <v>174</v>
      </c>
      <c r="C172" s="1" t="s">
        <v>9</v>
      </c>
      <c r="D172" s="4">
        <v>559.6</v>
      </c>
      <c r="E172" s="4">
        <v>542.20000000000005</v>
      </c>
      <c r="F172" s="4">
        <v>547.5</v>
      </c>
      <c r="G172" s="4">
        <f t="shared" si="4"/>
        <v>1649.3000000000002</v>
      </c>
    </row>
    <row r="173" spans="1:8" x14ac:dyDescent="0.35">
      <c r="A173" s="2">
        <v>19</v>
      </c>
      <c r="B173" t="s">
        <v>175</v>
      </c>
      <c r="C173" s="1" t="s">
        <v>9</v>
      </c>
      <c r="D173" s="4">
        <v>499.8</v>
      </c>
      <c r="E173" s="4">
        <v>512.4</v>
      </c>
      <c r="F173" s="4">
        <v>555.6</v>
      </c>
      <c r="G173" s="4">
        <f t="shared" si="4"/>
        <v>1567.8000000000002</v>
      </c>
    </row>
    <row r="174" spans="1:8" x14ac:dyDescent="0.35">
      <c r="A174" s="2">
        <v>20</v>
      </c>
      <c r="B174" t="s">
        <v>176</v>
      </c>
      <c r="C174" s="1" t="s">
        <v>13</v>
      </c>
      <c r="D174" s="4">
        <v>544.5</v>
      </c>
      <c r="E174" s="4"/>
      <c r="F174" s="4">
        <v>553.1</v>
      </c>
      <c r="G174" s="4">
        <f t="shared" si="4"/>
        <v>1097.5999999999999</v>
      </c>
      <c r="H174" s="7" t="s">
        <v>41</v>
      </c>
    </row>
    <row r="176" spans="1:8" x14ac:dyDescent="0.35">
      <c r="A176" s="2" t="s">
        <v>177</v>
      </c>
    </row>
    <row r="177" spans="1:8" x14ac:dyDescent="0.35">
      <c r="A177" s="2">
        <v>1</v>
      </c>
      <c r="B177" t="s">
        <v>28</v>
      </c>
      <c r="C177" s="1" t="s">
        <v>13</v>
      </c>
      <c r="D177" s="4">
        <v>570.9</v>
      </c>
      <c r="E177" s="4">
        <v>569.6</v>
      </c>
      <c r="F177" s="4">
        <v>571.79999999999995</v>
      </c>
      <c r="G177" s="4">
        <f>SUM(D177:F177)</f>
        <v>1712.3</v>
      </c>
      <c r="H177" s="5" t="s">
        <v>36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F5"/>
  <sheetViews>
    <sheetView workbookViewId="0">
      <selection sqref="A1:F1"/>
    </sheetView>
  </sheetViews>
  <sheetFormatPr defaultRowHeight="14.5" x14ac:dyDescent="0.35"/>
  <cols>
    <col min="1" max="1" width="5.26953125" style="2" bestFit="1" customWidth="1"/>
    <col min="2" max="2" width="25.1796875" customWidth="1"/>
    <col min="3" max="3" width="5.7265625" bestFit="1" customWidth="1"/>
    <col min="4" max="4" width="6" bestFit="1" customWidth="1"/>
    <col min="5" max="5" width="5.7265625" bestFit="1" customWidth="1"/>
    <col min="6" max="6" width="10" bestFit="1" customWidth="1"/>
  </cols>
  <sheetData>
    <row r="1" spans="1:6" x14ac:dyDescent="0.35">
      <c r="A1" s="9" t="str">
        <f>"2021 USAS Winter Air Gun - Air Rifle"</f>
        <v>2021 USAS Winter Air Gun - Air Rifle</v>
      </c>
      <c r="B1" s="9"/>
      <c r="C1" s="9"/>
      <c r="D1" s="9"/>
      <c r="E1" s="9"/>
      <c r="F1" s="9"/>
    </row>
    <row r="2" spans="1:6" x14ac:dyDescent="0.35">
      <c r="A2" s="9" t="str">
        <f>"R2 Results"</f>
        <v>R2 Results</v>
      </c>
      <c r="B2" s="9"/>
      <c r="C2" s="9"/>
      <c r="D2" s="9"/>
      <c r="E2" s="9"/>
      <c r="F2" s="9"/>
    </row>
    <row r="3" spans="1:6" x14ac:dyDescent="0.35">
      <c r="A3" s="9" t="s">
        <v>189</v>
      </c>
      <c r="B3" s="9"/>
      <c r="C3" s="9"/>
      <c r="D3" s="9"/>
      <c r="E3" s="9"/>
      <c r="F3" s="9"/>
    </row>
    <row r="4" spans="1:6" x14ac:dyDescent="0.35">
      <c r="A4" s="2" t="s">
        <v>0</v>
      </c>
      <c r="B4" t="s">
        <v>1</v>
      </c>
      <c r="C4" t="s">
        <v>3</v>
      </c>
      <c r="D4" t="s">
        <v>4</v>
      </c>
      <c r="E4" t="s">
        <v>5</v>
      </c>
      <c r="F4" t="s">
        <v>6</v>
      </c>
    </row>
    <row r="5" spans="1:6" x14ac:dyDescent="0.35">
      <c r="A5" s="2">
        <v>1</v>
      </c>
      <c r="B5" t="str">
        <f>"Farmer, Taylor (164860)"</f>
        <v>Farmer, Taylor (164860)</v>
      </c>
      <c r="C5" s="4">
        <v>612</v>
      </c>
      <c r="D5">
        <v>609.5</v>
      </c>
      <c r="F5">
        <f>SUM(C5:E5)</f>
        <v>1221.5</v>
      </c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</sheetPr>
  <dimension ref="A1:G17"/>
  <sheetViews>
    <sheetView workbookViewId="0">
      <selection sqref="A1:F1"/>
    </sheetView>
  </sheetViews>
  <sheetFormatPr defaultRowHeight="14.5" x14ac:dyDescent="0.35"/>
  <cols>
    <col min="1" max="1" width="5.26953125" style="2" bestFit="1" customWidth="1"/>
    <col min="2" max="2" width="32.26953125" bestFit="1" customWidth="1"/>
    <col min="3" max="5" width="5.7265625" bestFit="1" customWidth="1"/>
    <col min="6" max="6" width="10" bestFit="1" customWidth="1"/>
    <col min="7" max="7" width="10.81640625" customWidth="1"/>
  </cols>
  <sheetData>
    <row r="1" spans="1:7" x14ac:dyDescent="0.35">
      <c r="A1" s="9" t="str">
        <f>"2021 USAS Winter Air Gun - Air Rifle"</f>
        <v>2021 USAS Winter Air Gun - Air Rifle</v>
      </c>
      <c r="B1" s="9"/>
      <c r="C1" s="9"/>
      <c r="D1" s="9"/>
      <c r="E1" s="9"/>
      <c r="F1" s="9"/>
    </row>
    <row r="2" spans="1:7" x14ac:dyDescent="0.35">
      <c r="A2" s="9" t="str">
        <f>"R3 Results"</f>
        <v>R3 Results</v>
      </c>
      <c r="B2" s="9"/>
      <c r="C2" s="9"/>
      <c r="D2" s="9"/>
      <c r="E2" s="9"/>
      <c r="F2" s="9"/>
    </row>
    <row r="3" spans="1:7" x14ac:dyDescent="0.35">
      <c r="A3" s="9" t="s">
        <v>188</v>
      </c>
      <c r="B3" s="9"/>
      <c r="C3" s="9"/>
      <c r="D3" s="9"/>
      <c r="E3" s="9"/>
      <c r="F3" s="9"/>
    </row>
    <row r="4" spans="1:7" x14ac:dyDescent="0.35">
      <c r="A4" s="2" t="s">
        <v>0</v>
      </c>
      <c r="B4" t="s">
        <v>1</v>
      </c>
      <c r="C4" t="s">
        <v>3</v>
      </c>
      <c r="D4" t="s">
        <v>4</v>
      </c>
      <c r="E4" t="s">
        <v>5</v>
      </c>
      <c r="F4" t="s">
        <v>6</v>
      </c>
    </row>
    <row r="5" spans="1:7" x14ac:dyDescent="0.35">
      <c r="A5" s="2">
        <v>1</v>
      </c>
      <c r="B5" t="str">
        <f>"Esparza, Leonard (400412)"</f>
        <v>Esparza, Leonard (400412)</v>
      </c>
      <c r="C5" t="str">
        <f>"632.2"</f>
        <v>632.2</v>
      </c>
      <c r="D5" t="str">
        <f>"630.5"</f>
        <v>630.5</v>
      </c>
      <c r="E5" t="str">
        <f>"631.2"</f>
        <v>631.2</v>
      </c>
      <c r="F5" t="str">
        <f>"1,893.9"</f>
        <v>1,893.9</v>
      </c>
      <c r="G5" s="5" t="s">
        <v>36</v>
      </c>
    </row>
    <row r="6" spans="1:7" x14ac:dyDescent="0.35">
      <c r="A6" s="2">
        <v>2</v>
      </c>
      <c r="B6" t="str">
        <f>"Nguyen, Kevin, SSG, USA (239671)"</f>
        <v>Nguyen, Kevin, SSG, USA (239671)</v>
      </c>
      <c r="C6" t="str">
        <f>"631.1"</f>
        <v>631.1</v>
      </c>
      <c r="D6" t="str">
        <f>"631.4"</f>
        <v>631.4</v>
      </c>
      <c r="E6" t="str">
        <f>"630.7"</f>
        <v>630.7</v>
      </c>
      <c r="F6" t="str">
        <f>"1,893.2"</f>
        <v>1,893.2</v>
      </c>
      <c r="G6" s="6" t="s">
        <v>39</v>
      </c>
    </row>
    <row r="7" spans="1:7" x14ac:dyDescent="0.35">
      <c r="A7" s="2">
        <v>3</v>
      </c>
      <c r="B7" t="str">
        <f>"Beach, Robert (159201)"</f>
        <v>Beach, Robert (159201)</v>
      </c>
      <c r="C7" t="str">
        <f>"626.4"</f>
        <v>626.4</v>
      </c>
      <c r="D7" t="str">
        <f>"631.9"</f>
        <v>631.9</v>
      </c>
      <c r="E7" t="str">
        <f>"630.9"</f>
        <v>630.9</v>
      </c>
      <c r="F7" t="str">
        <f>"1,889.2"</f>
        <v>1,889.2</v>
      </c>
      <c r="G7" s="7" t="s">
        <v>41</v>
      </c>
    </row>
    <row r="8" spans="1:7" x14ac:dyDescent="0.35">
      <c r="A8" s="2">
        <v>4</v>
      </c>
      <c r="B8" t="str">
        <f>"Holbert, Steve, Cpl, USMC (373611)"</f>
        <v>Holbert, Steve, Cpl, USMC (373611)</v>
      </c>
      <c r="C8" t="str">
        <f>"616.8"</f>
        <v>616.8</v>
      </c>
      <c r="D8" t="str">
        <f>"623.8"</f>
        <v>623.8</v>
      </c>
      <c r="E8" t="str">
        <f>"621.2"</f>
        <v>621.2</v>
      </c>
      <c r="F8" t="str">
        <f>"1,861.8"</f>
        <v>1,861.8</v>
      </c>
    </row>
    <row r="9" spans="1:7" x14ac:dyDescent="0.35">
      <c r="A9" s="2">
        <v>5</v>
      </c>
      <c r="B9" t="str">
        <f>"Martin, Jay (400421)"</f>
        <v>Martin, Jay (400421)</v>
      </c>
      <c r="C9" t="str">
        <f>"618.3"</f>
        <v>618.3</v>
      </c>
      <c r="D9" t="str">
        <f>"618.8"</f>
        <v>618.8</v>
      </c>
      <c r="E9" t="str">
        <f>"619.8"</f>
        <v>619.8</v>
      </c>
      <c r="F9" t="str">
        <f>"1,856.9"</f>
        <v>1,856.9</v>
      </c>
    </row>
    <row r="10" spans="1:7" x14ac:dyDescent="0.35">
      <c r="A10" s="2">
        <v>6</v>
      </c>
      <c r="B10" t="str">
        <f>"McLeroy, William (374667)"</f>
        <v>McLeroy, William (374667)</v>
      </c>
      <c r="C10" t="str">
        <f>"617.8"</f>
        <v>617.8</v>
      </c>
      <c r="D10" t="str">
        <f>"611.5"</f>
        <v>611.5</v>
      </c>
      <c r="E10" t="str">
        <f>"623.0"</f>
        <v>623.0</v>
      </c>
      <c r="F10" t="str">
        <f>"1,852.3"</f>
        <v>1,852.3</v>
      </c>
    </row>
    <row r="11" spans="1:7" x14ac:dyDescent="0.35">
      <c r="A11" s="2">
        <v>7</v>
      </c>
      <c r="B11" t="str">
        <f>"Arbino, John (400406)"</f>
        <v>Arbino, John (400406)</v>
      </c>
      <c r="C11" t="str">
        <f>"613.6"</f>
        <v>613.6</v>
      </c>
      <c r="D11" t="str">
        <f>"617.4"</f>
        <v>617.4</v>
      </c>
      <c r="E11" t="str">
        <f>"615.7"</f>
        <v>615.7</v>
      </c>
      <c r="F11" t="str">
        <f>"1,846.7"</f>
        <v>1,846.7</v>
      </c>
    </row>
    <row r="12" spans="1:7" x14ac:dyDescent="0.35">
      <c r="A12" s="2">
        <v>8</v>
      </c>
      <c r="B12" t="str">
        <f>"Morris, Kerry (400424)"</f>
        <v>Morris, Kerry (400424)</v>
      </c>
      <c r="C12" t="str">
        <f>"608.3"</f>
        <v>608.3</v>
      </c>
      <c r="D12" t="str">
        <f>"617.0"</f>
        <v>617.0</v>
      </c>
      <c r="E12" t="str">
        <f>"614.1"</f>
        <v>614.1</v>
      </c>
      <c r="F12" t="str">
        <f>"1,839.4"</f>
        <v>1,839.4</v>
      </c>
    </row>
    <row r="13" spans="1:7" x14ac:dyDescent="0.35">
      <c r="A13" s="2">
        <v>9</v>
      </c>
      <c r="B13" t="str">
        <f>"Nolan, Toai (377831)"</f>
        <v>Nolan, Toai (377831)</v>
      </c>
      <c r="C13" t="str">
        <f>"607.3"</f>
        <v>607.3</v>
      </c>
      <c r="D13" t="str">
        <f>"610.1"</f>
        <v>610.1</v>
      </c>
      <c r="E13" t="str">
        <f>"606.5"</f>
        <v>606.5</v>
      </c>
      <c r="F13" t="str">
        <f>"1,823.9"</f>
        <v>1,823.9</v>
      </c>
    </row>
    <row r="14" spans="1:7" x14ac:dyDescent="0.35">
      <c r="A14" s="2">
        <v>10</v>
      </c>
      <c r="B14" t="str">
        <f>"Groggett, Leah (400417)"</f>
        <v>Groggett, Leah (400417)</v>
      </c>
      <c r="C14" t="str">
        <f>"586.2"</f>
        <v>586.2</v>
      </c>
      <c r="D14" t="str">
        <f>"605.8"</f>
        <v>605.8</v>
      </c>
      <c r="E14" t="str">
        <f>"604.3"</f>
        <v>604.3</v>
      </c>
      <c r="F14" t="str">
        <f>"1,796.3"</f>
        <v>1,796.3</v>
      </c>
    </row>
    <row r="16" spans="1:7" x14ac:dyDescent="0.35">
      <c r="A16" s="9" t="s">
        <v>189</v>
      </c>
      <c r="B16" s="9"/>
      <c r="C16" s="9"/>
      <c r="D16" s="9"/>
      <c r="E16" s="9"/>
      <c r="F16" s="9"/>
    </row>
    <row r="17" spans="1:6" x14ac:dyDescent="0.35">
      <c r="A17" s="2">
        <v>1</v>
      </c>
      <c r="B17" t="str">
        <f>"Farmer, Taylor (164860)"</f>
        <v>Farmer, Taylor (164860)</v>
      </c>
      <c r="C17" s="4">
        <v>631</v>
      </c>
      <c r="D17">
        <v>625.9</v>
      </c>
      <c r="F17" s="4">
        <f>SUM(C17:E17)</f>
        <v>1256.9000000000001</v>
      </c>
    </row>
  </sheetData>
  <mergeCells count="4">
    <mergeCell ref="A1:F1"/>
    <mergeCell ref="A2:F2"/>
    <mergeCell ref="A3:F3"/>
    <mergeCell ref="A16:F1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59999389629810485"/>
  </sheetPr>
  <dimension ref="A1:G8"/>
  <sheetViews>
    <sheetView workbookViewId="0">
      <selection sqref="A1:F1"/>
    </sheetView>
  </sheetViews>
  <sheetFormatPr defaultRowHeight="14.5" x14ac:dyDescent="0.35"/>
  <cols>
    <col min="1" max="1" width="5.26953125" style="2" bestFit="1" customWidth="1"/>
    <col min="2" max="2" width="27.26953125" bestFit="1" customWidth="1"/>
    <col min="3" max="5" width="6.54296875" bestFit="1" customWidth="1"/>
    <col min="6" max="6" width="10" bestFit="1" customWidth="1"/>
    <col min="7" max="7" width="12.81640625" bestFit="1" customWidth="1"/>
  </cols>
  <sheetData>
    <row r="1" spans="1:7" x14ac:dyDescent="0.35">
      <c r="A1" s="9" t="s">
        <v>178</v>
      </c>
      <c r="B1" s="9"/>
      <c r="C1" s="9"/>
      <c r="D1" s="9"/>
      <c r="E1" s="9"/>
      <c r="F1" s="9"/>
    </row>
    <row r="2" spans="1:7" x14ac:dyDescent="0.35">
      <c r="A2" s="9" t="s">
        <v>179</v>
      </c>
      <c r="B2" s="9"/>
      <c r="C2" s="9"/>
      <c r="D2" s="9"/>
      <c r="E2" s="9"/>
      <c r="F2" s="9"/>
    </row>
    <row r="3" spans="1:7" x14ac:dyDescent="0.35">
      <c r="A3" s="2" t="s">
        <v>0</v>
      </c>
      <c r="B3" t="s">
        <v>1</v>
      </c>
      <c r="C3" t="s">
        <v>3</v>
      </c>
      <c r="D3" t="s">
        <v>4</v>
      </c>
      <c r="E3" t="s">
        <v>5</v>
      </c>
      <c r="F3" t="s">
        <v>6</v>
      </c>
    </row>
    <row r="4" spans="1:7" x14ac:dyDescent="0.35">
      <c r="A4" s="2">
        <v>1</v>
      </c>
      <c r="B4" t="s">
        <v>180</v>
      </c>
      <c r="C4" s="4">
        <v>620</v>
      </c>
      <c r="D4" s="4">
        <v>613.20000000000005</v>
      </c>
      <c r="E4" s="4">
        <v>623.1</v>
      </c>
      <c r="F4">
        <v>1856.3</v>
      </c>
      <c r="G4" s="5" t="s">
        <v>36</v>
      </c>
    </row>
    <row r="5" spans="1:7" x14ac:dyDescent="0.35">
      <c r="A5" s="2">
        <v>2</v>
      </c>
      <c r="B5" t="s">
        <v>181</v>
      </c>
      <c r="C5" s="4">
        <v>617.1</v>
      </c>
      <c r="D5" s="4">
        <v>618.1</v>
      </c>
      <c r="E5" s="4">
        <v>620.29999999999995</v>
      </c>
      <c r="F5">
        <v>1855.5</v>
      </c>
      <c r="G5" s="6" t="s">
        <v>39</v>
      </c>
    </row>
    <row r="6" spans="1:7" x14ac:dyDescent="0.35">
      <c r="A6" s="2">
        <v>3</v>
      </c>
      <c r="B6" t="s">
        <v>182</v>
      </c>
      <c r="C6" s="4">
        <v>613.70000000000005</v>
      </c>
      <c r="D6" s="4">
        <v>613.5</v>
      </c>
      <c r="E6" s="4">
        <v>607.9</v>
      </c>
      <c r="F6">
        <v>1835.1</v>
      </c>
      <c r="G6" s="7" t="s">
        <v>41</v>
      </c>
    </row>
    <row r="7" spans="1:7" x14ac:dyDescent="0.35">
      <c r="A7" s="2">
        <v>4</v>
      </c>
      <c r="B7" t="s">
        <v>183</v>
      </c>
      <c r="C7" s="4">
        <v>597.1</v>
      </c>
      <c r="D7" s="4">
        <v>603.70000000000005</v>
      </c>
      <c r="E7" s="4">
        <v>614</v>
      </c>
      <c r="F7">
        <v>1814.8</v>
      </c>
    </row>
    <row r="8" spans="1:7" x14ac:dyDescent="0.35">
      <c r="A8" s="2">
        <v>5</v>
      </c>
      <c r="B8" t="s">
        <v>184</v>
      </c>
      <c r="C8" s="4">
        <v>568.20000000000005</v>
      </c>
      <c r="D8" s="4">
        <v>578.29999999999995</v>
      </c>
      <c r="E8" s="4">
        <v>584.20000000000005</v>
      </c>
      <c r="F8">
        <v>1730.7</v>
      </c>
      <c r="G8" s="5" t="s">
        <v>185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</sheetPr>
  <dimension ref="A1:G10"/>
  <sheetViews>
    <sheetView workbookViewId="0">
      <selection sqref="A1:F1"/>
    </sheetView>
  </sheetViews>
  <sheetFormatPr defaultRowHeight="14.5" x14ac:dyDescent="0.35"/>
  <cols>
    <col min="1" max="1" width="5.26953125" style="2" bestFit="1" customWidth="1"/>
    <col min="2" max="2" width="27.26953125" bestFit="1" customWidth="1"/>
    <col min="3" max="5" width="5.7265625" customWidth="1"/>
    <col min="6" max="6" width="10" bestFit="1" customWidth="1"/>
    <col min="7" max="7" width="15.54296875" customWidth="1"/>
  </cols>
  <sheetData>
    <row r="1" spans="1:7" x14ac:dyDescent="0.35">
      <c r="A1" s="9" t="str">
        <f>"2021 USAS Winter Air Gun - Air Rifle"</f>
        <v>2021 USAS Winter Air Gun - Air Rifle</v>
      </c>
      <c r="B1" s="9"/>
      <c r="C1" s="9"/>
      <c r="D1" s="9"/>
      <c r="E1" s="9"/>
      <c r="F1" s="9"/>
    </row>
    <row r="2" spans="1:7" x14ac:dyDescent="0.35">
      <c r="A2" s="9" t="str">
        <f>"R5 Results"</f>
        <v>R5 Results</v>
      </c>
      <c r="B2" s="9"/>
      <c r="C2" s="9"/>
      <c r="D2" s="9"/>
      <c r="E2" s="9"/>
      <c r="F2" s="9"/>
    </row>
    <row r="3" spans="1:7" x14ac:dyDescent="0.35">
      <c r="A3" s="2" t="s">
        <v>0</v>
      </c>
      <c r="B3" t="s">
        <v>1</v>
      </c>
      <c r="C3" t="s">
        <v>3</v>
      </c>
      <c r="D3" t="s">
        <v>4</v>
      </c>
      <c r="E3" t="s">
        <v>5</v>
      </c>
      <c r="F3" t="s">
        <v>6</v>
      </c>
    </row>
    <row r="4" spans="1:7" x14ac:dyDescent="0.35">
      <c r="A4" s="2">
        <v>1</v>
      </c>
      <c r="B4" t="str">
        <f>"Bardfield, Stetson (377822)"</f>
        <v>Bardfield, Stetson (377822)</v>
      </c>
      <c r="C4">
        <v>635.1</v>
      </c>
      <c r="D4">
        <v>633.4</v>
      </c>
      <c r="E4">
        <v>633.9</v>
      </c>
      <c r="F4">
        <f t="shared" ref="F4:F10" si="0">SUM(C4:E4)</f>
        <v>1902.4</v>
      </c>
      <c r="G4" s="5" t="s">
        <v>36</v>
      </c>
    </row>
    <row r="5" spans="1:7" x14ac:dyDescent="0.35">
      <c r="A5" s="2">
        <v>2</v>
      </c>
      <c r="B5" t="str">
        <f>"Almlie-Ryan, Jazmin (162308)"</f>
        <v>Almlie-Ryan, Jazmin (162308)</v>
      </c>
      <c r="C5">
        <v>628.1</v>
      </c>
      <c r="D5">
        <v>631.29999999999995</v>
      </c>
      <c r="E5">
        <v>636.20000000000005</v>
      </c>
      <c r="F5">
        <f t="shared" si="0"/>
        <v>1895.6000000000001</v>
      </c>
      <c r="G5" s="6" t="s">
        <v>39</v>
      </c>
    </row>
    <row r="6" spans="1:7" x14ac:dyDescent="0.35">
      <c r="A6" s="2">
        <v>3</v>
      </c>
      <c r="B6" t="str">
        <f>"Champion, Madison (295815)"</f>
        <v>Champion, Madison (295815)</v>
      </c>
      <c r="C6">
        <v>630.4</v>
      </c>
      <c r="D6">
        <v>624.5</v>
      </c>
      <c r="E6">
        <v>630.9</v>
      </c>
      <c r="F6">
        <f t="shared" si="0"/>
        <v>1885.8000000000002</v>
      </c>
      <c r="G6" s="7" t="s">
        <v>41</v>
      </c>
    </row>
    <row r="7" spans="1:7" x14ac:dyDescent="0.35">
      <c r="A7" s="2">
        <v>4</v>
      </c>
      <c r="B7" t="str">
        <f>"Rogers, Dakota (163287)"</f>
        <v>Rogers, Dakota (163287)</v>
      </c>
      <c r="C7">
        <v>614.20000000000005</v>
      </c>
      <c r="D7">
        <v>610.79999999999995</v>
      </c>
      <c r="E7">
        <v>627.4</v>
      </c>
      <c r="F7">
        <f t="shared" si="0"/>
        <v>1852.4</v>
      </c>
    </row>
    <row r="8" spans="1:7" x14ac:dyDescent="0.35">
      <c r="A8" s="2">
        <v>5</v>
      </c>
      <c r="B8" t="str">
        <f>"Hays, Benjamin (329874)"</f>
        <v>Hays, Benjamin (329874)</v>
      </c>
      <c r="C8">
        <v>612.70000000000005</v>
      </c>
      <c r="D8">
        <v>614</v>
      </c>
      <c r="E8">
        <v>612.70000000000005</v>
      </c>
      <c r="F8">
        <f t="shared" si="0"/>
        <v>1839.4</v>
      </c>
      <c r="G8" s="5" t="s">
        <v>185</v>
      </c>
    </row>
    <row r="9" spans="1:7" x14ac:dyDescent="0.35">
      <c r="A9" s="2">
        <v>6</v>
      </c>
      <c r="B9" t="str">
        <f>"Clayton, Trent (400408)"</f>
        <v>Clayton, Trent (400408)</v>
      </c>
      <c r="C9">
        <v>552.6</v>
      </c>
      <c r="D9">
        <v>555.4</v>
      </c>
      <c r="E9">
        <v>563.70000000000005</v>
      </c>
      <c r="F9">
        <f t="shared" si="0"/>
        <v>1671.7</v>
      </c>
      <c r="G9" s="6" t="s">
        <v>186</v>
      </c>
    </row>
    <row r="10" spans="1:7" x14ac:dyDescent="0.35">
      <c r="A10" s="2">
        <v>7</v>
      </c>
      <c r="B10" t="str">
        <f>"Tadpatri, Haricharan (400435)"</f>
        <v>Tadpatri, Haricharan (400435)</v>
      </c>
      <c r="C10">
        <v>532.1</v>
      </c>
      <c r="D10">
        <v>567.70000000000005</v>
      </c>
      <c r="E10">
        <v>541.9</v>
      </c>
      <c r="F10">
        <f t="shared" si="0"/>
        <v>1641.7000000000003</v>
      </c>
      <c r="G10" s="7" t="s">
        <v>187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A1:M11"/>
  <sheetViews>
    <sheetView workbookViewId="0">
      <selection sqref="A1:L1"/>
    </sheetView>
  </sheetViews>
  <sheetFormatPr defaultRowHeight="14.5" x14ac:dyDescent="0.35"/>
  <cols>
    <col min="1" max="1" width="5.7265625" style="2" bestFit="1" customWidth="1"/>
    <col min="2" max="2" width="25.54296875" bestFit="1" customWidth="1"/>
    <col min="3" max="9" width="7.7265625" bestFit="1" customWidth="1"/>
    <col min="10" max="10" width="7.1796875" bestFit="1" customWidth="1"/>
    <col min="11" max="11" width="11.1796875" bestFit="1" customWidth="1"/>
    <col min="12" max="12" width="10" bestFit="1" customWidth="1"/>
  </cols>
  <sheetData>
    <row r="1" spans="1:13" s="3" customFormat="1" x14ac:dyDescent="0.35">
      <c r="A1" s="8" t="str">
        <f>"2021 USAS Winter Air Gun - Air Rifle"</f>
        <v>2021 USAS Winter Air Gun - Air Rifle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3" s="3" customFormat="1" x14ac:dyDescent="0.35">
      <c r="A2" s="8" t="str">
        <f>"Camp Perry Men's Air Rifle Final"</f>
        <v>Camp Perry Men's Air Rifle Final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3" s="3" customFormat="1" x14ac:dyDescent="0.35">
      <c r="A3" s="2" t="str">
        <f>"Place"</f>
        <v>Place</v>
      </c>
      <c r="B3" s="3" t="str">
        <f>"Competitor (Comp Num)"</f>
        <v>Competitor (Comp Num)</v>
      </c>
      <c r="C3" s="3" t="str">
        <f>"Final S1"</f>
        <v>Final S1</v>
      </c>
      <c r="D3" s="3" t="str">
        <f>"Final S2"</f>
        <v>Final S2</v>
      </c>
      <c r="E3" s="3" t="str">
        <f>"Final S3"</f>
        <v>Final S3</v>
      </c>
      <c r="F3" s="3" t="str">
        <f>"Final S4"</f>
        <v>Final S4</v>
      </c>
      <c r="G3" s="3" t="str">
        <f>"Final S5"</f>
        <v>Final S5</v>
      </c>
      <c r="H3" s="3" t="str">
        <f>"Final S6"</f>
        <v>Final S6</v>
      </c>
      <c r="I3" s="3" t="str">
        <f>"Final S7"</f>
        <v>Final S7</v>
      </c>
      <c r="J3" s="3" t="str">
        <f>"Bronze"</f>
        <v>Bronze</v>
      </c>
      <c r="K3" s="3" t="str">
        <f>"Gold Medal"</f>
        <v>Gold Medal</v>
      </c>
      <c r="L3" s="3" t="str">
        <f>"Aggregate"</f>
        <v>Aggregate</v>
      </c>
    </row>
    <row r="4" spans="1:13" x14ac:dyDescent="0.35">
      <c r="A4" s="2">
        <v>1</v>
      </c>
      <c r="B4" t="str">
        <f>"McAferty, Kellen (200141)"</f>
        <v>McAferty, Kellen (200141)</v>
      </c>
      <c r="C4" t="str">
        <f>"52.2"</f>
        <v>52.2</v>
      </c>
      <c r="D4" t="str">
        <f>"51.6"</f>
        <v>51.6</v>
      </c>
      <c r="E4" t="str">
        <f>"20.2"</f>
        <v>20.2</v>
      </c>
      <c r="F4" t="str">
        <f>"20.5"</f>
        <v>20.5</v>
      </c>
      <c r="G4" t="str">
        <f>"20.2"</f>
        <v>20.2</v>
      </c>
      <c r="H4" t="str">
        <f>"20.8"</f>
        <v>20.8</v>
      </c>
      <c r="I4" t="str">
        <f>"20.8"</f>
        <v>20.8</v>
      </c>
      <c r="J4" t="str">
        <f>"20.5"</f>
        <v>20.5</v>
      </c>
      <c r="K4" t="str">
        <f>"20.4"</f>
        <v>20.4</v>
      </c>
      <c r="L4" t="str">
        <f>"247.2"</f>
        <v>247.2</v>
      </c>
      <c r="M4" s="5" t="s">
        <v>36</v>
      </c>
    </row>
    <row r="5" spans="1:13" x14ac:dyDescent="0.35">
      <c r="A5" s="2">
        <v>2</v>
      </c>
      <c r="B5" t="str">
        <f>"Sanchez, Matthew (242657)"</f>
        <v>Sanchez, Matthew (242657)</v>
      </c>
      <c r="C5" t="str">
        <f>"51.3"</f>
        <v>51.3</v>
      </c>
      <c r="D5" t="str">
        <f>"51.6"</f>
        <v>51.6</v>
      </c>
      <c r="E5" t="str">
        <f>"19.4"</f>
        <v>19.4</v>
      </c>
      <c r="F5" t="str">
        <f>"21.2"</f>
        <v>21.2</v>
      </c>
      <c r="G5" t="str">
        <f>"20.5"</f>
        <v>20.5</v>
      </c>
      <c r="H5" t="str">
        <f>"20.8"</f>
        <v>20.8</v>
      </c>
      <c r="I5" t="str">
        <f>"20.8"</f>
        <v>20.8</v>
      </c>
      <c r="J5" t="str">
        <f>"19.6"</f>
        <v>19.6</v>
      </c>
      <c r="K5" t="str">
        <f>"20.4"</f>
        <v>20.4</v>
      </c>
      <c r="L5" t="str">
        <f>"245.6"</f>
        <v>245.6</v>
      </c>
      <c r="M5" s="6" t="s">
        <v>39</v>
      </c>
    </row>
    <row r="6" spans="1:13" x14ac:dyDescent="0.35">
      <c r="A6" s="2">
        <v>3</v>
      </c>
      <c r="B6" t="str">
        <f>"Evans, Brandon (356924)"</f>
        <v>Evans, Brandon (356924)</v>
      </c>
      <c r="C6" t="str">
        <f>"50.2"</f>
        <v>50.2</v>
      </c>
      <c r="D6" t="str">
        <f>"50.8"</f>
        <v>50.8</v>
      </c>
      <c r="E6" t="str">
        <f>"21.1"</f>
        <v>21.1</v>
      </c>
      <c r="F6" t="str">
        <f>"20.8"</f>
        <v>20.8</v>
      </c>
      <c r="G6" t="str">
        <f>"19.5"</f>
        <v>19.5</v>
      </c>
      <c r="H6" t="str">
        <f>"20.1"</f>
        <v>20.1</v>
      </c>
      <c r="I6" t="str">
        <f>"20.2"</f>
        <v>20.2</v>
      </c>
      <c r="J6" t="str">
        <f>"20.5"</f>
        <v>20.5</v>
      </c>
      <c r="K6" t="str">
        <f>""</f>
        <v/>
      </c>
      <c r="L6" t="str">
        <f>"223.2"</f>
        <v>223.2</v>
      </c>
      <c r="M6" s="7" t="s">
        <v>41</v>
      </c>
    </row>
    <row r="7" spans="1:13" x14ac:dyDescent="0.35">
      <c r="A7" s="2">
        <v>4</v>
      </c>
      <c r="B7" t="str">
        <f>"Kissell, Rylan (247859)"</f>
        <v>Kissell, Rylan (247859)</v>
      </c>
      <c r="C7" t="str">
        <f>"49.3"</f>
        <v>49.3</v>
      </c>
      <c r="D7" t="str">
        <f>"49.6"</f>
        <v>49.6</v>
      </c>
      <c r="E7" t="str">
        <f>"21.2"</f>
        <v>21.2</v>
      </c>
      <c r="F7" t="str">
        <f>"21.0"</f>
        <v>21.0</v>
      </c>
      <c r="G7" t="str">
        <f>"20.8"</f>
        <v>20.8</v>
      </c>
      <c r="H7" t="str">
        <f>"20.2"</f>
        <v>20.2</v>
      </c>
      <c r="I7" t="str">
        <f>"20.6"</f>
        <v>20.6</v>
      </c>
      <c r="J7" t="str">
        <f>""</f>
        <v/>
      </c>
      <c r="K7" t="str">
        <f>""</f>
        <v/>
      </c>
      <c r="L7" t="str">
        <f>"202.7"</f>
        <v>202.7</v>
      </c>
    </row>
    <row r="8" spans="1:13" x14ac:dyDescent="0.35">
      <c r="A8" s="2">
        <v>5</v>
      </c>
      <c r="B8" t="str">
        <f>"Shimizu, Akihito (400449)"</f>
        <v>Shimizu, Akihito (400449)</v>
      </c>
      <c r="C8" t="str">
        <f>"50.8"</f>
        <v>50.8</v>
      </c>
      <c r="D8" t="str">
        <f>"51.8"</f>
        <v>51.8</v>
      </c>
      <c r="E8" t="str">
        <f>"19.4"</f>
        <v>19.4</v>
      </c>
      <c r="F8" t="str">
        <f>"19.7"</f>
        <v>19.7</v>
      </c>
      <c r="G8" t="str">
        <f>"20.7"</f>
        <v>20.7</v>
      </c>
      <c r="H8" t="str">
        <f>"19.6"</f>
        <v>19.6</v>
      </c>
      <c r="I8" t="str">
        <f>""</f>
        <v/>
      </c>
      <c r="J8" t="str">
        <f>""</f>
        <v/>
      </c>
      <c r="K8" t="str">
        <f>""</f>
        <v/>
      </c>
      <c r="L8" t="str">
        <f>"182.0"</f>
        <v>182.0</v>
      </c>
    </row>
    <row r="9" spans="1:13" x14ac:dyDescent="0.35">
      <c r="A9" s="2">
        <v>6</v>
      </c>
      <c r="B9" t="str">
        <f>"Zanti, Michael (106575)"</f>
        <v>Zanti, Michael (106575)</v>
      </c>
      <c r="C9" t="str">
        <f>"50.9"</f>
        <v>50.9</v>
      </c>
      <c r="D9" t="str">
        <f>"49.7"</f>
        <v>49.7</v>
      </c>
      <c r="E9" t="str">
        <f>"20.5"</f>
        <v>20.5</v>
      </c>
      <c r="F9" t="str">
        <f>"20.2"</f>
        <v>20.2</v>
      </c>
      <c r="G9" t="str">
        <f>"20.3"</f>
        <v>20.3</v>
      </c>
      <c r="H9" t="str">
        <f>""</f>
        <v/>
      </c>
      <c r="I9" t="str">
        <f>""</f>
        <v/>
      </c>
      <c r="J9" t="str">
        <f>""</f>
        <v/>
      </c>
      <c r="K9" t="str">
        <f>""</f>
        <v/>
      </c>
      <c r="L9" t="str">
        <f>"161.6"</f>
        <v>161.6</v>
      </c>
    </row>
    <row r="10" spans="1:13" x14ac:dyDescent="0.35">
      <c r="A10" s="2">
        <v>7</v>
      </c>
      <c r="B10" t="str">
        <f>"Cover, Chance (50286)"</f>
        <v>Cover, Chance (50286)</v>
      </c>
      <c r="C10" t="str">
        <f>"51.7"</f>
        <v>51.7</v>
      </c>
      <c r="D10" t="str">
        <f>"49.6"</f>
        <v>49.6</v>
      </c>
      <c r="E10" t="str">
        <f>"19.2"</f>
        <v>19.2</v>
      </c>
      <c r="F10" t="str">
        <f>"20.4"</f>
        <v>20.4</v>
      </c>
      <c r="G10" t="str">
        <f>""</f>
        <v/>
      </c>
      <c r="H10" t="str">
        <f>""</f>
        <v/>
      </c>
      <c r="I10" t="str">
        <f>""</f>
        <v/>
      </c>
      <c r="J10" t="str">
        <f>""</f>
        <v/>
      </c>
      <c r="K10" t="str">
        <f>""</f>
        <v/>
      </c>
      <c r="L10" t="str">
        <f>"140.9"</f>
        <v>140.9</v>
      </c>
    </row>
    <row r="11" spans="1:13" x14ac:dyDescent="0.35">
      <c r="A11" s="2">
        <v>8</v>
      </c>
      <c r="B11" t="str">
        <f>"Clark, Richard (229901)"</f>
        <v>Clark, Richard (229901)</v>
      </c>
      <c r="C11" t="str">
        <f>"49.2"</f>
        <v>49.2</v>
      </c>
      <c r="D11" t="str">
        <f>"49.8"</f>
        <v>49.8</v>
      </c>
      <c r="E11" t="str">
        <f>"20.7"</f>
        <v>20.7</v>
      </c>
      <c r="F11" t="str">
        <f>""</f>
        <v/>
      </c>
      <c r="G11" t="str">
        <f>""</f>
        <v/>
      </c>
      <c r="H11" t="str">
        <f>""</f>
        <v/>
      </c>
      <c r="I11" t="str">
        <f>""</f>
        <v/>
      </c>
      <c r="J11" t="str">
        <f>""</f>
        <v/>
      </c>
      <c r="K11" t="str">
        <f>""</f>
        <v/>
      </c>
      <c r="L11" t="str">
        <f>"119.7"</f>
        <v>119.7</v>
      </c>
    </row>
  </sheetData>
  <mergeCells count="2">
    <mergeCell ref="A1:L1"/>
    <mergeCell ref="A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</sheetPr>
  <dimension ref="A1:G88"/>
  <sheetViews>
    <sheetView workbookViewId="0">
      <selection sqref="A1:G1"/>
    </sheetView>
  </sheetViews>
  <sheetFormatPr defaultRowHeight="14.5" x14ac:dyDescent="0.35"/>
  <cols>
    <col min="1" max="1" width="7.1796875" style="3" customWidth="1"/>
    <col min="2" max="2" width="32.453125" bestFit="1" customWidth="1"/>
    <col min="3" max="3" width="21.1796875" customWidth="1"/>
    <col min="7" max="7" width="11.1796875" customWidth="1"/>
  </cols>
  <sheetData>
    <row r="1" spans="1:7" x14ac:dyDescent="0.35">
      <c r="A1" s="8" t="str">
        <f>"2021 USAS Winter Air Gun - Air Rifle"</f>
        <v>2021 USAS Winter Air Gun - Air Rifle</v>
      </c>
      <c r="B1" s="8"/>
      <c r="C1" s="8"/>
      <c r="D1" s="8"/>
      <c r="E1" s="8"/>
      <c r="F1" s="8"/>
      <c r="G1" s="8"/>
    </row>
    <row r="2" spans="1:7" x14ac:dyDescent="0.35">
      <c r="A2" s="8" t="str">
        <f>"Camp Perry Qualification Aggregate"</f>
        <v>Camp Perry Qualification Aggregate</v>
      </c>
      <c r="B2" s="8"/>
      <c r="C2" s="8"/>
      <c r="D2" s="8"/>
      <c r="E2" s="8"/>
      <c r="F2" s="8"/>
      <c r="G2" s="8"/>
    </row>
    <row r="3" spans="1:7" x14ac:dyDescent="0.35">
      <c r="A3" s="8" t="str">
        <f>"Women's - Air Rifle"</f>
        <v>Women's - Air Rifle</v>
      </c>
      <c r="B3" s="8"/>
      <c r="C3" s="8"/>
      <c r="D3" s="8"/>
      <c r="E3" s="8"/>
      <c r="F3" s="8"/>
      <c r="G3" s="8"/>
    </row>
    <row r="4" spans="1:7" x14ac:dyDescent="0.35">
      <c r="A4" s="2" t="str">
        <f>"Place"</f>
        <v>Place</v>
      </c>
      <c r="B4" s="3" t="str">
        <f>"Competitor (Comp Num)"</f>
        <v>Competitor (Comp Num)</v>
      </c>
      <c r="C4" s="3" t="str">
        <f>"USAS Number"</f>
        <v>USAS Number</v>
      </c>
      <c r="D4" s="3" t="str">
        <f>"D1 60"</f>
        <v>D1 60</v>
      </c>
      <c r="E4" s="3" t="str">
        <f>"D2 60"</f>
        <v>D2 60</v>
      </c>
      <c r="F4" s="3" t="str">
        <f>"D3 60"</f>
        <v>D3 60</v>
      </c>
      <c r="G4" s="3" t="str">
        <f>"Aggregate"</f>
        <v>Aggregate</v>
      </c>
    </row>
    <row r="5" spans="1:7" x14ac:dyDescent="0.35">
      <c r="A5" s="2">
        <v>1</v>
      </c>
      <c r="B5" t="str">
        <f>"Perrin, Natalie (279907)"</f>
        <v>Perrin, Natalie (279907)</v>
      </c>
      <c r="C5" t="str">
        <f>"1039076"</f>
        <v>1039076</v>
      </c>
      <c r="D5" t="str">
        <f>"630.3"</f>
        <v>630.3</v>
      </c>
      <c r="E5" t="str">
        <f>"629.5"</f>
        <v>629.5</v>
      </c>
      <c r="F5" t="str">
        <f>"626.3"</f>
        <v>626.3</v>
      </c>
      <c r="G5" t="str">
        <f>"1,886.1"</f>
        <v>1,886.1</v>
      </c>
    </row>
    <row r="6" spans="1:7" x14ac:dyDescent="0.35">
      <c r="A6" s="2">
        <v>2</v>
      </c>
      <c r="B6" t="str">
        <f>"Haverhill, Jeanne (257863)"</f>
        <v>Haverhill, Jeanne (257863)</v>
      </c>
      <c r="C6" t="str">
        <f>"103807"</f>
        <v>103807</v>
      </c>
      <c r="D6" t="str">
        <f>"623.1"</f>
        <v>623.1</v>
      </c>
      <c r="E6" t="str">
        <f>"624.8"</f>
        <v>624.8</v>
      </c>
      <c r="F6" t="str">
        <f>"624.6"</f>
        <v>624.6</v>
      </c>
      <c r="G6" t="str">
        <f>"1,872.5"</f>
        <v>1,872.5</v>
      </c>
    </row>
    <row r="7" spans="1:7" x14ac:dyDescent="0.35">
      <c r="A7" s="2">
        <v>3</v>
      </c>
      <c r="B7" t="str">
        <f>"Walrath, Emme (369838)"</f>
        <v>Walrath, Emme (369838)</v>
      </c>
      <c r="C7" t="str">
        <f>"1042892"</f>
        <v>1042892</v>
      </c>
      <c r="D7" t="str">
        <f>"622.6"</f>
        <v>622.6</v>
      </c>
      <c r="E7" t="str">
        <f>"620.8"</f>
        <v>620.8</v>
      </c>
      <c r="F7" t="str">
        <f>"616.8"</f>
        <v>616.8</v>
      </c>
      <c r="G7" t="str">
        <f>"1,860.2"</f>
        <v>1,860.2</v>
      </c>
    </row>
    <row r="8" spans="1:7" x14ac:dyDescent="0.35">
      <c r="A8" s="2">
        <v>4</v>
      </c>
      <c r="B8" t="str">
        <f>"McGhin, Molly (207993)"</f>
        <v>McGhin, Molly (207993)</v>
      </c>
      <c r="C8" t="str">
        <f>"100823"</f>
        <v>100823</v>
      </c>
      <c r="D8" t="str">
        <f>"617.7"</f>
        <v>617.7</v>
      </c>
      <c r="E8" t="str">
        <f>"617.8"</f>
        <v>617.8</v>
      </c>
      <c r="F8" t="str">
        <f>"624.2"</f>
        <v>624.2</v>
      </c>
      <c r="G8" t="str">
        <f>"1,859.7"</f>
        <v>1,859.7</v>
      </c>
    </row>
    <row r="9" spans="1:7" x14ac:dyDescent="0.35">
      <c r="A9" s="2">
        <v>5</v>
      </c>
      <c r="B9" t="str">
        <f>"Hays, Julianna (277153)"</f>
        <v>Hays, Julianna (277153)</v>
      </c>
      <c r="C9" t="str">
        <f>"1039365"</f>
        <v>1039365</v>
      </c>
      <c r="D9" t="str">
        <f>"622.5"</f>
        <v>622.5</v>
      </c>
      <c r="E9" t="str">
        <f>"621.5"</f>
        <v>621.5</v>
      </c>
      <c r="F9" t="str">
        <f>"615.0"</f>
        <v>615.0</v>
      </c>
      <c r="G9" t="str">
        <f>"1,859.0"</f>
        <v>1,859.0</v>
      </c>
    </row>
    <row r="10" spans="1:7" x14ac:dyDescent="0.35">
      <c r="A10" s="2">
        <v>6</v>
      </c>
      <c r="B10" t="str">
        <f>"Layland, Clarissa (255915)"</f>
        <v>Layland, Clarissa (255915)</v>
      </c>
      <c r="C10" t="str">
        <f>"104267"</f>
        <v>104267</v>
      </c>
      <c r="D10" t="str">
        <f>"618.0"</f>
        <v>618.0</v>
      </c>
      <c r="E10" t="str">
        <f>"618.1"</f>
        <v>618.1</v>
      </c>
      <c r="F10" t="str">
        <f>"621.7"</f>
        <v>621.7</v>
      </c>
      <c r="G10" t="str">
        <f>"1,857.8"</f>
        <v>1,857.8</v>
      </c>
    </row>
    <row r="11" spans="1:7" x14ac:dyDescent="0.35">
      <c r="A11" s="2">
        <v>7</v>
      </c>
      <c r="B11" t="str">
        <f>"Demerle, Katrina (224913)"</f>
        <v>Demerle, Katrina (224913)</v>
      </c>
      <c r="C11" t="str">
        <f>"102447"</f>
        <v>102447</v>
      </c>
      <c r="D11" t="str">
        <f>"617.1"</f>
        <v>617.1</v>
      </c>
      <c r="E11" t="str">
        <f>"618.4"</f>
        <v>618.4</v>
      </c>
      <c r="F11" t="str">
        <f>"620.8"</f>
        <v>620.8</v>
      </c>
      <c r="G11" t="str">
        <f>"1,856.3"</f>
        <v>1,856.3</v>
      </c>
    </row>
    <row r="12" spans="1:7" x14ac:dyDescent="0.35">
      <c r="A12" s="2">
        <v>8</v>
      </c>
      <c r="B12" t="str">
        <f>"Butler, Bremen (301932)"</f>
        <v>Butler, Bremen (301932)</v>
      </c>
      <c r="C12" t="str">
        <f>"1041282"</f>
        <v>1041282</v>
      </c>
      <c r="D12" t="str">
        <f>"621.7"</f>
        <v>621.7</v>
      </c>
      <c r="E12" t="str">
        <f>"618.7"</f>
        <v>618.7</v>
      </c>
      <c r="F12" t="str">
        <f>"614.5"</f>
        <v>614.5</v>
      </c>
      <c r="G12" t="str">
        <f>"1,854.9"</f>
        <v>1,854.9</v>
      </c>
    </row>
    <row r="13" spans="1:7" x14ac:dyDescent="0.35">
      <c r="A13" s="2">
        <v>9</v>
      </c>
      <c r="B13" t="str">
        <f>"Passmore, Rylie (282261)"</f>
        <v>Passmore, Rylie (282261)</v>
      </c>
      <c r="C13" t="str">
        <f>"1039011"</f>
        <v>1039011</v>
      </c>
      <c r="D13" t="str">
        <f>"616.7"</f>
        <v>616.7</v>
      </c>
      <c r="E13" t="str">
        <f>"620.5"</f>
        <v>620.5</v>
      </c>
      <c r="F13" t="str">
        <f>"616.8"</f>
        <v>616.8</v>
      </c>
      <c r="G13" t="str">
        <f>"1,854.0"</f>
        <v>1,854.0</v>
      </c>
    </row>
    <row r="14" spans="1:7" x14ac:dyDescent="0.35">
      <c r="A14" s="2">
        <v>10</v>
      </c>
      <c r="B14" t="str">
        <f>"Brown, Malori (206645)"</f>
        <v>Brown, Malori (206645)</v>
      </c>
      <c r="C14" t="str">
        <f>"1034166"</f>
        <v>1034166</v>
      </c>
      <c r="D14" t="str">
        <f>"620.0"</f>
        <v>620.0</v>
      </c>
      <c r="E14" t="str">
        <f>"618.2"</f>
        <v>618.2</v>
      </c>
      <c r="F14" t="str">
        <f>"613.6"</f>
        <v>613.6</v>
      </c>
      <c r="G14" t="str">
        <f>"1,851.8"</f>
        <v>1,851.8</v>
      </c>
    </row>
    <row r="15" spans="1:7" x14ac:dyDescent="0.35">
      <c r="A15" s="2">
        <v>11</v>
      </c>
      <c r="B15" t="str">
        <f>"Kaufman, Kera (227669)"</f>
        <v>Kaufman, Kera (227669)</v>
      </c>
      <c r="C15" t="str">
        <f>"1037204"</f>
        <v>1037204</v>
      </c>
      <c r="D15" t="str">
        <f>"615.7"</f>
        <v>615.7</v>
      </c>
      <c r="E15" t="str">
        <f>"614.9"</f>
        <v>614.9</v>
      </c>
      <c r="F15" t="str">
        <f>"617.2"</f>
        <v>617.2</v>
      </c>
      <c r="G15" t="str">
        <f>"1,847.8"</f>
        <v>1,847.8</v>
      </c>
    </row>
    <row r="16" spans="1:7" x14ac:dyDescent="0.35">
      <c r="A16" s="2">
        <v>12</v>
      </c>
      <c r="B16" t="str">
        <f>"Ossi, Cecelia  (278485)"</f>
        <v>Ossi, Cecelia  (278485)</v>
      </c>
      <c r="C16" t="str">
        <f>"1041110"</f>
        <v>1041110</v>
      </c>
      <c r="D16" t="str">
        <f>"614.0"</f>
        <v>614.0</v>
      </c>
      <c r="E16" t="str">
        <f>"613.4"</f>
        <v>613.4</v>
      </c>
      <c r="F16" t="str">
        <f>"617.3"</f>
        <v>617.3</v>
      </c>
      <c r="G16" t="str">
        <f>"1,844.7"</f>
        <v>1,844.7</v>
      </c>
    </row>
    <row r="17" spans="1:7" x14ac:dyDescent="0.35">
      <c r="A17" s="2">
        <v>13</v>
      </c>
      <c r="B17" t="str">
        <f>"Perkins, Alivia (355166)"</f>
        <v>Perkins, Alivia (355166)</v>
      </c>
      <c r="C17" t="str">
        <f>"1043449"</f>
        <v>1043449</v>
      </c>
      <c r="D17" t="str">
        <f>"613.3"</f>
        <v>613.3</v>
      </c>
      <c r="E17" t="str">
        <f>"614.6"</f>
        <v>614.6</v>
      </c>
      <c r="F17" t="str">
        <f>"616.8"</f>
        <v>616.8</v>
      </c>
      <c r="G17" t="str">
        <f>"1,844.7"</f>
        <v>1,844.7</v>
      </c>
    </row>
    <row r="18" spans="1:7" x14ac:dyDescent="0.35">
      <c r="A18" s="2">
        <v>14</v>
      </c>
      <c r="B18" t="str">
        <f>"Warren, Lillian (257820)"</f>
        <v>Warren, Lillian (257820)</v>
      </c>
      <c r="C18" t="str">
        <f>"103638"</f>
        <v>103638</v>
      </c>
      <c r="D18" t="str">
        <f>"616.9"</f>
        <v>616.9</v>
      </c>
      <c r="E18" t="str">
        <f>"618.9"</f>
        <v>618.9</v>
      </c>
      <c r="F18" t="str">
        <f>"608.9"</f>
        <v>608.9</v>
      </c>
      <c r="G18" t="str">
        <f>"1,844.7"</f>
        <v>1,844.7</v>
      </c>
    </row>
    <row r="19" spans="1:7" x14ac:dyDescent="0.35">
      <c r="A19" s="2">
        <v>15</v>
      </c>
      <c r="B19" t="str">
        <f>"Hines, Teresa (359341)"</f>
        <v>Hines, Teresa (359341)</v>
      </c>
      <c r="C19" t="str">
        <f>"1043851"</f>
        <v>1043851</v>
      </c>
      <c r="D19" t="str">
        <f>"620.3"</f>
        <v>620.3</v>
      </c>
      <c r="E19" t="str">
        <f>"611.8"</f>
        <v>611.8</v>
      </c>
      <c r="F19" t="str">
        <f>"611.8"</f>
        <v>611.8</v>
      </c>
      <c r="G19" t="str">
        <f>"1,843.9"</f>
        <v>1,843.9</v>
      </c>
    </row>
    <row r="20" spans="1:7" x14ac:dyDescent="0.35">
      <c r="A20" s="2">
        <v>16</v>
      </c>
      <c r="B20" t="str">
        <f>"Hoffman, Nicolette (249132)"</f>
        <v>Hoffman, Nicolette (249132)</v>
      </c>
      <c r="C20" t="str">
        <f>"102496"</f>
        <v>102496</v>
      </c>
      <c r="D20" t="str">
        <f>"610.5"</f>
        <v>610.5</v>
      </c>
      <c r="E20" t="str">
        <f>"616.0"</f>
        <v>616.0</v>
      </c>
      <c r="F20" t="str">
        <f>"615.1"</f>
        <v>615.1</v>
      </c>
      <c r="G20" t="str">
        <f>"1,841.6"</f>
        <v>1,841.6</v>
      </c>
    </row>
    <row r="21" spans="1:7" x14ac:dyDescent="0.35">
      <c r="A21" s="2">
        <v>17</v>
      </c>
      <c r="B21" t="str">
        <f>"Shedd, McKenzie (299465)"</f>
        <v>Shedd, McKenzie (299465)</v>
      </c>
      <c r="C21" t="str">
        <f>"1039246"</f>
        <v>1039246</v>
      </c>
      <c r="D21" t="str">
        <f>"611.1"</f>
        <v>611.1</v>
      </c>
      <c r="E21" t="str">
        <f>"615.7"</f>
        <v>615.7</v>
      </c>
      <c r="F21" t="str">
        <f>"614.2"</f>
        <v>614.2</v>
      </c>
      <c r="G21" t="str">
        <f>"1,841.0"</f>
        <v>1,841.0</v>
      </c>
    </row>
    <row r="22" spans="1:7" x14ac:dyDescent="0.35">
      <c r="A22" s="2">
        <v>18</v>
      </c>
      <c r="B22" t="str">
        <f>"Kelly, Alana (168868)"</f>
        <v>Kelly, Alana (168868)</v>
      </c>
      <c r="C22" t="str">
        <f>"1033755"</f>
        <v>1033755</v>
      </c>
      <c r="D22" t="str">
        <f>"617.8"</f>
        <v>617.8</v>
      </c>
      <c r="E22" t="str">
        <f>"612.6"</f>
        <v>612.6</v>
      </c>
      <c r="F22" t="str">
        <f>"609.3"</f>
        <v>609.3</v>
      </c>
      <c r="G22" t="str">
        <f>"1,839.7"</f>
        <v>1,839.7</v>
      </c>
    </row>
    <row r="23" spans="1:7" x14ac:dyDescent="0.35">
      <c r="A23" s="2">
        <v>19</v>
      </c>
      <c r="B23" t="str">
        <f>"Klusmeier, Julie (184785)"</f>
        <v>Klusmeier, Julie (184785)</v>
      </c>
      <c r="C23" t="str">
        <f>"1033928"</f>
        <v>1033928</v>
      </c>
      <c r="D23" t="str">
        <f>"610.3"</f>
        <v>610.3</v>
      </c>
      <c r="E23" t="str">
        <f>"616.5"</f>
        <v>616.5</v>
      </c>
      <c r="F23" t="str">
        <f>"611.2"</f>
        <v>611.2</v>
      </c>
      <c r="G23" t="str">
        <f>"1,838.0"</f>
        <v>1,838.0</v>
      </c>
    </row>
    <row r="24" spans="1:7" x14ac:dyDescent="0.35">
      <c r="A24" s="2">
        <v>20</v>
      </c>
      <c r="B24" t="str">
        <f>"Rhode, Emma (230446)"</f>
        <v>Rhode, Emma (230446)</v>
      </c>
      <c r="C24" t="str">
        <f>"102227"</f>
        <v>102227</v>
      </c>
      <c r="D24" t="str">
        <f>"611.3"</f>
        <v>611.3</v>
      </c>
      <c r="E24" t="str">
        <f>"611.2"</f>
        <v>611.2</v>
      </c>
      <c r="F24" t="str">
        <f>"615.2"</f>
        <v>615.2</v>
      </c>
      <c r="G24" t="str">
        <f>"1,837.7"</f>
        <v>1,837.7</v>
      </c>
    </row>
    <row r="25" spans="1:7" x14ac:dyDescent="0.35">
      <c r="A25" s="2">
        <v>21</v>
      </c>
      <c r="B25" t="str">
        <f>"McLaughlin, Mackenzy (344635)"</f>
        <v>McLaughlin, Mackenzy (344635)</v>
      </c>
      <c r="C25" t="str">
        <f>"102695"</f>
        <v>102695</v>
      </c>
      <c r="D25" t="str">
        <f>"613.7"</f>
        <v>613.7</v>
      </c>
      <c r="E25" t="str">
        <f>"611.5"</f>
        <v>611.5</v>
      </c>
      <c r="F25" t="str">
        <f>"611.9"</f>
        <v>611.9</v>
      </c>
      <c r="G25" t="str">
        <f>"1,837.1"</f>
        <v>1,837.1</v>
      </c>
    </row>
    <row r="26" spans="1:7" x14ac:dyDescent="0.35">
      <c r="A26" s="2">
        <v>22</v>
      </c>
      <c r="B26" t="str">
        <f>"Milvain, Stephanie (302878)"</f>
        <v>Milvain, Stephanie (302878)</v>
      </c>
      <c r="C26" t="str">
        <f>"1040690"</f>
        <v>1040690</v>
      </c>
      <c r="D26" t="str">
        <f>"609.8"</f>
        <v>609.8</v>
      </c>
      <c r="E26" t="str">
        <f>"614.4"</f>
        <v>614.4</v>
      </c>
      <c r="F26" t="str">
        <f>"612.1"</f>
        <v>612.1</v>
      </c>
      <c r="G26" t="str">
        <f>"1,836.3"</f>
        <v>1,836.3</v>
      </c>
    </row>
    <row r="27" spans="1:7" x14ac:dyDescent="0.35">
      <c r="A27" s="2">
        <v>23</v>
      </c>
      <c r="B27" t="str">
        <f>"Muzik, Claudia (227604)"</f>
        <v>Muzik, Claudia (227604)</v>
      </c>
      <c r="C27" t="str">
        <f>"1038827"</f>
        <v>1038827</v>
      </c>
      <c r="D27" t="str">
        <f>"609.1"</f>
        <v>609.1</v>
      </c>
      <c r="E27" t="str">
        <f>"613.0"</f>
        <v>613.0</v>
      </c>
      <c r="F27" t="str">
        <f>"612.0"</f>
        <v>612.0</v>
      </c>
      <c r="G27" t="str">
        <f>"1,834.1"</f>
        <v>1,834.1</v>
      </c>
    </row>
    <row r="28" spans="1:7" x14ac:dyDescent="0.35">
      <c r="A28" s="2">
        <v>24</v>
      </c>
      <c r="B28" t="str">
        <f>"Spencer, Elijah (335242)"</f>
        <v>Spencer, Elijah (335242)</v>
      </c>
      <c r="C28" t="str">
        <f>"1040539"</f>
        <v>1040539</v>
      </c>
      <c r="D28" t="str">
        <f>"606.5"</f>
        <v>606.5</v>
      </c>
      <c r="E28" t="str">
        <f>"613.2"</f>
        <v>613.2</v>
      </c>
      <c r="F28" t="str">
        <f>"613.5"</f>
        <v>613.5</v>
      </c>
      <c r="G28" t="str">
        <f>"1,833.2"</f>
        <v>1,833.2</v>
      </c>
    </row>
    <row r="29" spans="1:7" x14ac:dyDescent="0.35">
      <c r="A29" s="2">
        <v>25</v>
      </c>
      <c r="B29" t="str">
        <f>"Yancey, Alysa (353340)"</f>
        <v>Yancey, Alysa (353340)</v>
      </c>
      <c r="C29" t="str">
        <f>"1043472"</f>
        <v>1043472</v>
      </c>
      <c r="D29" t="str">
        <f>"613.0"</f>
        <v>613.0</v>
      </c>
      <c r="E29" t="str">
        <f>"611.7"</f>
        <v>611.7</v>
      </c>
      <c r="F29" t="str">
        <f>"604.9"</f>
        <v>604.9</v>
      </c>
      <c r="G29" t="str">
        <f>"1,829.6"</f>
        <v>1,829.6</v>
      </c>
    </row>
    <row r="30" spans="1:7" x14ac:dyDescent="0.35">
      <c r="A30" s="2">
        <v>26</v>
      </c>
      <c r="B30" t="str">
        <f>"Paddock, Rachael (282179)"</f>
        <v>Paddock, Rachael (282179)</v>
      </c>
      <c r="C30" t="str">
        <f>"1038044"</f>
        <v>1038044</v>
      </c>
      <c r="D30" t="str">
        <f>"603.1"</f>
        <v>603.1</v>
      </c>
      <c r="E30" t="str">
        <f>"614.2"</f>
        <v>614.2</v>
      </c>
      <c r="F30" t="str">
        <f>"611.0"</f>
        <v>611.0</v>
      </c>
      <c r="G30" t="str">
        <f>"1,828.3"</f>
        <v>1,828.3</v>
      </c>
    </row>
    <row r="31" spans="1:7" x14ac:dyDescent="0.35">
      <c r="A31" s="2">
        <v>27</v>
      </c>
      <c r="B31" t="str">
        <f>"Spanic, Lara (337462)"</f>
        <v>Spanic, Lara (337462)</v>
      </c>
      <c r="C31" t="str">
        <f>"1041306"</f>
        <v>1041306</v>
      </c>
      <c r="D31" t="str">
        <f>"608.0"</f>
        <v>608.0</v>
      </c>
      <c r="E31" t="str">
        <f>"610.6"</f>
        <v>610.6</v>
      </c>
      <c r="F31" t="str">
        <f>"609.6"</f>
        <v>609.6</v>
      </c>
      <c r="G31" t="str">
        <f>"1,828.2"</f>
        <v>1,828.2</v>
      </c>
    </row>
    <row r="32" spans="1:7" x14ac:dyDescent="0.35">
      <c r="A32" s="2">
        <v>28</v>
      </c>
      <c r="B32" t="str">
        <f>"Butt, Emma (267360)"</f>
        <v>Butt, Emma (267360)</v>
      </c>
      <c r="C32" t="str">
        <f>"1037641"</f>
        <v>1037641</v>
      </c>
      <c r="D32" t="str">
        <f>"608.2"</f>
        <v>608.2</v>
      </c>
      <c r="E32" t="str">
        <f>"608.0"</f>
        <v>608.0</v>
      </c>
      <c r="F32" t="str">
        <f>"609.3"</f>
        <v>609.3</v>
      </c>
      <c r="G32" t="str">
        <f>"1,825.5"</f>
        <v>1,825.5</v>
      </c>
    </row>
    <row r="33" spans="1:7" x14ac:dyDescent="0.35">
      <c r="A33" s="2">
        <v>29</v>
      </c>
      <c r="B33" t="str">
        <f>"Cicatella, Lily (306433)"</f>
        <v>Cicatella, Lily (306433)</v>
      </c>
      <c r="C33" t="str">
        <f>"1039258"</f>
        <v>1039258</v>
      </c>
      <c r="D33" t="str">
        <f>"611.8"</f>
        <v>611.8</v>
      </c>
      <c r="E33" t="str">
        <f>"610.3"</f>
        <v>610.3</v>
      </c>
      <c r="F33" t="str">
        <f>"603.3"</f>
        <v>603.3</v>
      </c>
      <c r="G33" t="str">
        <f>"1,825.4"</f>
        <v>1,825.4</v>
      </c>
    </row>
    <row r="34" spans="1:7" x14ac:dyDescent="0.35">
      <c r="A34" s="2">
        <v>30</v>
      </c>
      <c r="B34" t="str">
        <f>"Moriarty, Shannon (319315)"</f>
        <v>Moriarty, Shannon (319315)</v>
      </c>
      <c r="C34" t="str">
        <f>"1043354"</f>
        <v>1043354</v>
      </c>
      <c r="D34" t="str">
        <f>"612.0"</f>
        <v>612.0</v>
      </c>
      <c r="E34" t="str">
        <f>"603.3"</f>
        <v>603.3</v>
      </c>
      <c r="F34" t="str">
        <f>"608.6"</f>
        <v>608.6</v>
      </c>
      <c r="G34" t="str">
        <f>"1,823.9"</f>
        <v>1,823.9</v>
      </c>
    </row>
    <row r="35" spans="1:7" x14ac:dyDescent="0.35">
      <c r="A35" s="2">
        <v>31</v>
      </c>
      <c r="B35" t="str">
        <f>"Ewine, Jordyn (256297)"</f>
        <v>Ewine, Jordyn (256297)</v>
      </c>
      <c r="C35" t="str">
        <f>"101641"</f>
        <v>101641</v>
      </c>
      <c r="D35" t="str">
        <f>"610.8"</f>
        <v>610.8</v>
      </c>
      <c r="E35" t="str">
        <f>"600.7"</f>
        <v>600.7</v>
      </c>
      <c r="F35" t="str">
        <f>"611.9"</f>
        <v>611.9</v>
      </c>
      <c r="G35" t="str">
        <f>"1,823.4"</f>
        <v>1,823.4</v>
      </c>
    </row>
    <row r="36" spans="1:7" x14ac:dyDescent="0.35">
      <c r="A36" s="2">
        <v>32</v>
      </c>
      <c r="B36" t="str">
        <f>"Leppert, Victoria (327985)"</f>
        <v>Leppert, Victoria (327985)</v>
      </c>
      <c r="C36" t="str">
        <f>"1040977"</f>
        <v>1040977</v>
      </c>
      <c r="D36" t="str">
        <f>"605.6"</f>
        <v>605.6</v>
      </c>
      <c r="E36" t="str">
        <f>"608.5"</f>
        <v>608.5</v>
      </c>
      <c r="F36" t="str">
        <f>"607.6"</f>
        <v>607.6</v>
      </c>
      <c r="G36" t="str">
        <f>"1,821.7"</f>
        <v>1,821.7</v>
      </c>
    </row>
    <row r="37" spans="1:7" x14ac:dyDescent="0.35">
      <c r="A37" s="2">
        <v>33</v>
      </c>
      <c r="B37" t="str">
        <f>"Reeke, Sally (301786)"</f>
        <v>Reeke, Sally (301786)</v>
      </c>
      <c r="C37" t="str">
        <f>"1039136"</f>
        <v>1039136</v>
      </c>
      <c r="D37" t="str">
        <f>"605.3"</f>
        <v>605.3</v>
      </c>
      <c r="E37" t="str">
        <f>"612.6"</f>
        <v>612.6</v>
      </c>
      <c r="F37" t="str">
        <f>"602.3"</f>
        <v>602.3</v>
      </c>
      <c r="G37" t="str">
        <f>"1,820.2"</f>
        <v>1,820.2</v>
      </c>
    </row>
    <row r="38" spans="1:7" x14ac:dyDescent="0.35">
      <c r="A38" s="2">
        <v>34</v>
      </c>
      <c r="B38" t="str">
        <f>"Wytko, Lily (322167)"</f>
        <v>Wytko, Lily (322167)</v>
      </c>
      <c r="C38" t="str">
        <f>"1040551"</f>
        <v>1040551</v>
      </c>
      <c r="D38" t="str">
        <f>"609.5"</f>
        <v>609.5</v>
      </c>
      <c r="E38" t="str">
        <f>"605.3"</f>
        <v>605.3</v>
      </c>
      <c r="F38" t="str">
        <f>"604.9"</f>
        <v>604.9</v>
      </c>
      <c r="G38" t="str">
        <f>"1,819.7"</f>
        <v>1,819.7</v>
      </c>
    </row>
    <row r="39" spans="1:7" x14ac:dyDescent="0.35">
      <c r="A39" s="2">
        <v>35</v>
      </c>
      <c r="B39" t="str">
        <f>"Singleton, Hailey (346661)"</f>
        <v>Singleton, Hailey (346661)</v>
      </c>
      <c r="C39" t="str">
        <f>"1042868"</f>
        <v>1042868</v>
      </c>
      <c r="D39" t="str">
        <f>"608.1"</f>
        <v>608.1</v>
      </c>
      <c r="E39" t="str">
        <f>"608.9"</f>
        <v>608.9</v>
      </c>
      <c r="F39" t="str">
        <f>"601.9"</f>
        <v>601.9</v>
      </c>
      <c r="G39" t="str">
        <f>"1,818.9"</f>
        <v>1,818.9</v>
      </c>
    </row>
    <row r="40" spans="1:7" x14ac:dyDescent="0.35">
      <c r="A40" s="2">
        <v>36</v>
      </c>
      <c r="B40" t="str">
        <f>"Hays, Jasmine  (306261)"</f>
        <v>Hays, Jasmine  (306261)</v>
      </c>
      <c r="C40" t="str">
        <f>"1038243"</f>
        <v>1038243</v>
      </c>
      <c r="D40" t="str">
        <f>"599.2"</f>
        <v>599.2</v>
      </c>
      <c r="E40" t="str">
        <f>"612.8"</f>
        <v>612.8</v>
      </c>
      <c r="F40" t="str">
        <f>"603.1"</f>
        <v>603.1</v>
      </c>
      <c r="G40" t="str">
        <f>"1,815.1"</f>
        <v>1,815.1</v>
      </c>
    </row>
    <row r="41" spans="1:7" x14ac:dyDescent="0.35">
      <c r="A41" s="2">
        <v>37</v>
      </c>
      <c r="B41" t="str">
        <f>"Rodriguez-Ferreira, Lainie (363626)"</f>
        <v>Rodriguez-Ferreira, Lainie (363626)</v>
      </c>
      <c r="C41" t="str">
        <f>"1042864"</f>
        <v>1042864</v>
      </c>
      <c r="D41" t="str">
        <f>"604.5"</f>
        <v>604.5</v>
      </c>
      <c r="E41" t="str">
        <f>"602.8"</f>
        <v>602.8</v>
      </c>
      <c r="F41" t="str">
        <f>"607.1"</f>
        <v>607.1</v>
      </c>
      <c r="G41" t="str">
        <f>"1,814.4"</f>
        <v>1,814.4</v>
      </c>
    </row>
    <row r="42" spans="1:7" x14ac:dyDescent="0.35">
      <c r="A42" s="2">
        <v>38</v>
      </c>
      <c r="B42" t="str">
        <f>"Lee, Mia (277963)"</f>
        <v>Lee, Mia (277963)</v>
      </c>
      <c r="C42" t="str">
        <f>"1038001"</f>
        <v>1038001</v>
      </c>
      <c r="D42" t="str">
        <f>"608.5"</f>
        <v>608.5</v>
      </c>
      <c r="E42" t="str">
        <f>"594.6"</f>
        <v>594.6</v>
      </c>
      <c r="F42" t="str">
        <f>"609.6"</f>
        <v>609.6</v>
      </c>
      <c r="G42" t="str">
        <f>"1,812.7"</f>
        <v>1,812.7</v>
      </c>
    </row>
    <row r="43" spans="1:7" x14ac:dyDescent="0.35">
      <c r="A43" s="2">
        <v>39</v>
      </c>
      <c r="B43" t="str">
        <f>"Reeke, Cassidy (351767)"</f>
        <v>Reeke, Cassidy (351767)</v>
      </c>
      <c r="C43" t="str">
        <f>"1042463"</f>
        <v>1042463</v>
      </c>
      <c r="D43" t="str">
        <f>"612.4"</f>
        <v>612.4</v>
      </c>
      <c r="E43" t="str">
        <f>"597.9"</f>
        <v>597.9</v>
      </c>
      <c r="F43" t="str">
        <f>"601.9"</f>
        <v>601.9</v>
      </c>
      <c r="G43" t="str">
        <f>"1,812.2"</f>
        <v>1,812.2</v>
      </c>
    </row>
    <row r="44" spans="1:7" x14ac:dyDescent="0.35">
      <c r="A44" s="2">
        <v>40</v>
      </c>
      <c r="B44" t="str">
        <f>"Hildebrandt, Paige (275938)"</f>
        <v>Hildebrandt, Paige (275938)</v>
      </c>
      <c r="C44" t="str">
        <f>"1037796"</f>
        <v>1037796</v>
      </c>
      <c r="D44" t="str">
        <f>"609.0"</f>
        <v>609.0</v>
      </c>
      <c r="E44" t="str">
        <f>"607.9"</f>
        <v>607.9</v>
      </c>
      <c r="F44" t="str">
        <f>"591.1"</f>
        <v>591.1</v>
      </c>
      <c r="G44" t="str">
        <f>"1,808.0"</f>
        <v>1,808.0</v>
      </c>
    </row>
    <row r="45" spans="1:7" x14ac:dyDescent="0.35">
      <c r="A45" s="2">
        <v>41</v>
      </c>
      <c r="B45" t="str">
        <f>"Lawrence, Emma (355936)"</f>
        <v>Lawrence, Emma (355936)</v>
      </c>
      <c r="C45" t="str">
        <f>"1037956"</f>
        <v>1037956</v>
      </c>
      <c r="D45" t="str">
        <f>"600.4"</f>
        <v>600.4</v>
      </c>
      <c r="E45" t="str">
        <f>"602.2"</f>
        <v>602.2</v>
      </c>
      <c r="F45" t="str">
        <f>"604.4"</f>
        <v>604.4</v>
      </c>
      <c r="G45" t="str">
        <f>"1,807.0"</f>
        <v>1,807.0</v>
      </c>
    </row>
    <row r="46" spans="1:7" x14ac:dyDescent="0.35">
      <c r="A46" s="2">
        <v>42</v>
      </c>
      <c r="B46" t="str">
        <f>"Koenig, Victoria (335759)"</f>
        <v>Koenig, Victoria (335759)</v>
      </c>
      <c r="C46" t="str">
        <f>"1043385"</f>
        <v>1043385</v>
      </c>
      <c r="D46" t="str">
        <f>"609.6"</f>
        <v>609.6</v>
      </c>
      <c r="E46" t="str">
        <f>"594.4"</f>
        <v>594.4</v>
      </c>
      <c r="F46" t="str">
        <f>"601.9"</f>
        <v>601.9</v>
      </c>
      <c r="G46" t="str">
        <f>"1,805.9"</f>
        <v>1,805.9</v>
      </c>
    </row>
    <row r="47" spans="1:7" x14ac:dyDescent="0.35">
      <c r="A47" s="2">
        <v>43</v>
      </c>
      <c r="B47" t="str">
        <f>"Meade, Kyra (332082)"</f>
        <v>Meade, Kyra (332082)</v>
      </c>
      <c r="C47" t="str">
        <f>"1041355"</f>
        <v>1041355</v>
      </c>
      <c r="D47" t="str">
        <f>"603.5"</f>
        <v>603.5</v>
      </c>
      <c r="E47" t="str">
        <f>"597.9"</f>
        <v>597.9</v>
      </c>
      <c r="F47" t="str">
        <f>"600.0"</f>
        <v>600.0</v>
      </c>
      <c r="G47" t="str">
        <f>"1,801.4"</f>
        <v>1,801.4</v>
      </c>
    </row>
    <row r="48" spans="1:7" x14ac:dyDescent="0.35">
      <c r="A48" s="2">
        <v>44</v>
      </c>
      <c r="B48" t="str">
        <f>"Lin, Mela (316292)"</f>
        <v>Lin, Mela (316292)</v>
      </c>
      <c r="C48" t="str">
        <f>"1040899"</f>
        <v>1040899</v>
      </c>
      <c r="D48" t="str">
        <f>"604.5"</f>
        <v>604.5</v>
      </c>
      <c r="E48" t="str">
        <f>"601.1"</f>
        <v>601.1</v>
      </c>
      <c r="F48" t="str">
        <f>"594.9"</f>
        <v>594.9</v>
      </c>
      <c r="G48" t="str">
        <f>"1,800.5"</f>
        <v>1,800.5</v>
      </c>
    </row>
    <row r="49" spans="1:7" x14ac:dyDescent="0.35">
      <c r="A49" s="2">
        <v>45</v>
      </c>
      <c r="B49" t="str">
        <f>"Dely, Catherine (327027)"</f>
        <v>Dely, Catherine (327027)</v>
      </c>
      <c r="C49" t="str">
        <f>"1042810"</f>
        <v>1042810</v>
      </c>
      <c r="D49" t="str">
        <f>"601.5"</f>
        <v>601.5</v>
      </c>
      <c r="E49" t="str">
        <f>"595.1"</f>
        <v>595.1</v>
      </c>
      <c r="F49" t="str">
        <f>"601.3"</f>
        <v>601.3</v>
      </c>
      <c r="G49" t="str">
        <f>"1,797.9"</f>
        <v>1,797.9</v>
      </c>
    </row>
    <row r="50" spans="1:7" x14ac:dyDescent="0.35">
      <c r="A50" s="2">
        <v>46</v>
      </c>
      <c r="B50" t="str">
        <f>"Gratz, Isabelle (312913)"</f>
        <v>Gratz, Isabelle (312913)</v>
      </c>
      <c r="C50" t="str">
        <f>"1040921"</f>
        <v>1040921</v>
      </c>
      <c r="D50" t="str">
        <f>"597.3"</f>
        <v>597.3</v>
      </c>
      <c r="E50" t="str">
        <f>"597.5"</f>
        <v>597.5</v>
      </c>
      <c r="F50" t="str">
        <f>"601.0"</f>
        <v>601.0</v>
      </c>
      <c r="G50" t="str">
        <f>"1,795.8"</f>
        <v>1,795.8</v>
      </c>
    </row>
    <row r="51" spans="1:7" x14ac:dyDescent="0.35">
      <c r="A51" s="2">
        <v>47</v>
      </c>
      <c r="B51" t="str">
        <f>"Leppert, Diana (374545)"</f>
        <v>Leppert, Diana (374545)</v>
      </c>
      <c r="C51" t="str">
        <f>"1043350"</f>
        <v>1043350</v>
      </c>
      <c r="D51" t="str">
        <f>"597.6"</f>
        <v>597.6</v>
      </c>
      <c r="E51" t="str">
        <f>"599.0"</f>
        <v>599.0</v>
      </c>
      <c r="F51" t="str">
        <f>"598.8"</f>
        <v>598.8</v>
      </c>
      <c r="G51" t="str">
        <f>"1,795.4"</f>
        <v>1,795.4</v>
      </c>
    </row>
    <row r="52" spans="1:7" x14ac:dyDescent="0.35">
      <c r="A52" s="2">
        <v>48</v>
      </c>
      <c r="B52" t="str">
        <f>"Foley, Grace (400444)"</f>
        <v>Foley, Grace (400444)</v>
      </c>
      <c r="C52" t="str">
        <f>"1037801"</f>
        <v>1037801</v>
      </c>
      <c r="D52" t="str">
        <f>"589.5"</f>
        <v>589.5</v>
      </c>
      <c r="E52" t="str">
        <f>"599.5"</f>
        <v>599.5</v>
      </c>
      <c r="F52" t="str">
        <f>"605.5"</f>
        <v>605.5</v>
      </c>
      <c r="G52" t="str">
        <f>"1,794.5"</f>
        <v>1,794.5</v>
      </c>
    </row>
    <row r="53" spans="1:7" x14ac:dyDescent="0.35">
      <c r="A53" s="2">
        <v>49</v>
      </c>
      <c r="B53" t="str">
        <f>"Marne, Emily  (331228)"</f>
        <v>Marne, Emily  (331228)</v>
      </c>
      <c r="C53" t="str">
        <f>"1040862"</f>
        <v>1040862</v>
      </c>
      <c r="D53" t="str">
        <f>"596.5"</f>
        <v>596.5</v>
      </c>
      <c r="E53" t="str">
        <f>"594.3"</f>
        <v>594.3</v>
      </c>
      <c r="F53" t="str">
        <f>"602.4"</f>
        <v>602.4</v>
      </c>
      <c r="G53" t="str">
        <f>"1,793.2"</f>
        <v>1,793.2</v>
      </c>
    </row>
    <row r="54" spans="1:7" x14ac:dyDescent="0.35">
      <c r="A54" s="2">
        <v>50</v>
      </c>
      <c r="B54" t="str">
        <f>"Jaros, Megan (350727)"</f>
        <v>Jaros, Megan (350727)</v>
      </c>
      <c r="C54" t="str">
        <f>"1042958"</f>
        <v>1042958</v>
      </c>
      <c r="D54" t="str">
        <f>"601.4"</f>
        <v>601.4</v>
      </c>
      <c r="E54" t="str">
        <f>"592.6"</f>
        <v>592.6</v>
      </c>
      <c r="F54" t="str">
        <f>"598.2"</f>
        <v>598.2</v>
      </c>
      <c r="G54" t="str">
        <f>"1,792.2"</f>
        <v>1,792.2</v>
      </c>
    </row>
    <row r="55" spans="1:7" x14ac:dyDescent="0.35">
      <c r="A55" s="2">
        <v>51</v>
      </c>
      <c r="B55" t="str">
        <f>"Koenig, Maria (335760)"</f>
        <v>Koenig, Maria (335760)</v>
      </c>
      <c r="C55" t="str">
        <f>"1043382"</f>
        <v>1043382</v>
      </c>
      <c r="D55" t="str">
        <f>"596.8"</f>
        <v>596.8</v>
      </c>
      <c r="E55" t="str">
        <f>"592.7"</f>
        <v>592.7</v>
      </c>
      <c r="F55" t="str">
        <f>"598.4"</f>
        <v>598.4</v>
      </c>
      <c r="G55" t="str">
        <f>"1,787.9"</f>
        <v>1,787.9</v>
      </c>
    </row>
    <row r="56" spans="1:7" x14ac:dyDescent="0.35">
      <c r="A56" s="2">
        <v>52</v>
      </c>
      <c r="B56" t="str">
        <f>"Wolfe, Amanda (378598)"</f>
        <v>Wolfe, Amanda (378598)</v>
      </c>
      <c r="C56" t="str">
        <f>"1043369"</f>
        <v>1043369</v>
      </c>
      <c r="D56" t="str">
        <f>"597.9"</f>
        <v>597.9</v>
      </c>
      <c r="E56" t="str">
        <f>"595.0"</f>
        <v>595.0</v>
      </c>
      <c r="F56" t="str">
        <f>"593.2"</f>
        <v>593.2</v>
      </c>
      <c r="G56" t="str">
        <f>"1,786.1"</f>
        <v>1,786.1</v>
      </c>
    </row>
    <row r="57" spans="1:7" x14ac:dyDescent="0.35">
      <c r="A57" s="2">
        <v>53</v>
      </c>
      <c r="B57" t="str">
        <f>"Blake, Ashluy (377849)"</f>
        <v>Blake, Ashluy (377849)</v>
      </c>
      <c r="C57" t="str">
        <f>"1043389"</f>
        <v>1043389</v>
      </c>
      <c r="D57" t="str">
        <f>"601.6"</f>
        <v>601.6</v>
      </c>
      <c r="E57" t="str">
        <f>"594.2"</f>
        <v>594.2</v>
      </c>
      <c r="F57" t="str">
        <f>"589.8"</f>
        <v>589.8</v>
      </c>
      <c r="G57" t="str">
        <f>"1,785.6"</f>
        <v>1,785.6</v>
      </c>
    </row>
    <row r="58" spans="1:7" x14ac:dyDescent="0.35">
      <c r="A58" s="2">
        <v>54</v>
      </c>
      <c r="B58" t="str">
        <f>"Sowers, Genevieve (284839)"</f>
        <v>Sowers, Genevieve (284839)</v>
      </c>
      <c r="C58" t="str">
        <f>"1038741"</f>
        <v>1038741</v>
      </c>
      <c r="D58" t="str">
        <f>"591.3"</f>
        <v>591.3</v>
      </c>
      <c r="E58" t="str">
        <f>"595.0"</f>
        <v>595.0</v>
      </c>
      <c r="F58" t="str">
        <f>"594.6"</f>
        <v>594.6</v>
      </c>
      <c r="G58" t="str">
        <f>"1,780.9"</f>
        <v>1,780.9</v>
      </c>
    </row>
    <row r="59" spans="1:7" x14ac:dyDescent="0.35">
      <c r="A59" s="2">
        <v>55</v>
      </c>
      <c r="B59" t="str">
        <f>"Merk, Sophia (299134)"</f>
        <v>Merk, Sophia (299134)</v>
      </c>
      <c r="C59" t="str">
        <f>"1044629"</f>
        <v>1044629</v>
      </c>
      <c r="D59" t="str">
        <f>"593.0"</f>
        <v>593.0</v>
      </c>
      <c r="E59" t="str">
        <f>"594.2"</f>
        <v>594.2</v>
      </c>
      <c r="F59" t="str">
        <f>"593.4"</f>
        <v>593.4</v>
      </c>
      <c r="G59" t="str">
        <f>"1,780.6"</f>
        <v>1,780.6</v>
      </c>
    </row>
    <row r="60" spans="1:7" x14ac:dyDescent="0.35">
      <c r="A60" s="2">
        <v>56</v>
      </c>
      <c r="B60" t="str">
        <f>"Siek, Natalia  (377610)"</f>
        <v>Siek, Natalia  (377610)</v>
      </c>
      <c r="C60" t="str">
        <f>"1041353"</f>
        <v>1041353</v>
      </c>
      <c r="D60" t="str">
        <f>"600.6"</f>
        <v>600.6</v>
      </c>
      <c r="E60" t="str">
        <f>"594.3"</f>
        <v>594.3</v>
      </c>
      <c r="F60" t="str">
        <f>"582.6"</f>
        <v>582.6</v>
      </c>
      <c r="G60" t="str">
        <f>"1,777.5"</f>
        <v>1,777.5</v>
      </c>
    </row>
    <row r="61" spans="1:7" x14ac:dyDescent="0.35">
      <c r="A61" s="2">
        <v>57</v>
      </c>
      <c r="B61" t="str">
        <f>"Shane, Olivia (330513)"</f>
        <v>Shane, Olivia (330513)</v>
      </c>
      <c r="C61" t="str">
        <f>"1040914"</f>
        <v>1040914</v>
      </c>
      <c r="D61" t="str">
        <f>"589.0"</f>
        <v>589.0</v>
      </c>
      <c r="E61" t="str">
        <f>"594.9"</f>
        <v>594.9</v>
      </c>
      <c r="F61" t="str">
        <f>"592.4"</f>
        <v>592.4</v>
      </c>
      <c r="G61" t="str">
        <f>"1,776.3"</f>
        <v>1,776.3</v>
      </c>
    </row>
    <row r="62" spans="1:7" x14ac:dyDescent="0.35">
      <c r="A62" s="2">
        <v>58</v>
      </c>
      <c r="B62" t="str">
        <f>"Bruce, Keira (372183)"</f>
        <v>Bruce, Keira (372183)</v>
      </c>
      <c r="C62" t="str">
        <f>"1043294"</f>
        <v>1043294</v>
      </c>
      <c r="D62" t="str">
        <f>"590.2"</f>
        <v>590.2</v>
      </c>
      <c r="E62" t="str">
        <f>"587.5"</f>
        <v>587.5</v>
      </c>
      <c r="F62" t="str">
        <f>"595.9"</f>
        <v>595.9</v>
      </c>
      <c r="G62" t="str">
        <f>"1,773.6"</f>
        <v>1,773.6</v>
      </c>
    </row>
    <row r="63" spans="1:7" x14ac:dyDescent="0.35">
      <c r="A63" s="2">
        <v>59</v>
      </c>
      <c r="B63" t="str">
        <f>"Roguski, Tristian (233328)"</f>
        <v>Roguski, Tristian (233328)</v>
      </c>
      <c r="C63" t="str">
        <f>"1038881"</f>
        <v>1038881</v>
      </c>
      <c r="D63" t="str">
        <f>"589.5"</f>
        <v>589.5</v>
      </c>
      <c r="E63" t="str">
        <f>"591.1"</f>
        <v>591.1</v>
      </c>
      <c r="F63" t="str">
        <f>"591.8"</f>
        <v>591.8</v>
      </c>
      <c r="G63" t="str">
        <f>"1,772.4"</f>
        <v>1,772.4</v>
      </c>
    </row>
    <row r="64" spans="1:7" x14ac:dyDescent="0.35">
      <c r="A64" s="2">
        <v>60</v>
      </c>
      <c r="B64" t="str">
        <f>"Carpenter, Allyn (338285)"</f>
        <v>Carpenter, Allyn (338285)</v>
      </c>
      <c r="C64" t="str">
        <f>"1042865"</f>
        <v>1042865</v>
      </c>
      <c r="D64" t="str">
        <f>"589.0"</f>
        <v>589.0</v>
      </c>
      <c r="E64" t="str">
        <f>"589.1"</f>
        <v>589.1</v>
      </c>
      <c r="F64" t="str">
        <f>"593.9"</f>
        <v>593.9</v>
      </c>
      <c r="G64" t="str">
        <f>"1,772.0"</f>
        <v>1,772.0</v>
      </c>
    </row>
    <row r="65" spans="1:7" x14ac:dyDescent="0.35">
      <c r="A65" s="2">
        <v>61</v>
      </c>
      <c r="B65" t="str">
        <f>"Penatzer, Ava (377840)"</f>
        <v>Penatzer, Ava (377840)</v>
      </c>
      <c r="C65" t="str">
        <f>"1043364"</f>
        <v>1043364</v>
      </c>
      <c r="D65" t="str">
        <f>"577.4"</f>
        <v>577.4</v>
      </c>
      <c r="E65" t="str">
        <f>"604.4"</f>
        <v>604.4</v>
      </c>
      <c r="F65" t="str">
        <f>"586.4"</f>
        <v>586.4</v>
      </c>
      <c r="G65" t="str">
        <f>"1,768.2"</f>
        <v>1,768.2</v>
      </c>
    </row>
    <row r="66" spans="1:7" x14ac:dyDescent="0.35">
      <c r="A66" s="2">
        <v>62</v>
      </c>
      <c r="B66" t="str">
        <f>"Fleischer, Raina (372489)"</f>
        <v>Fleischer, Raina (372489)</v>
      </c>
      <c r="C66" t="str">
        <f>"1043879"</f>
        <v>1043879</v>
      </c>
      <c r="D66" t="str">
        <f>"582.8"</f>
        <v>582.8</v>
      </c>
      <c r="E66" t="str">
        <f>"584.3"</f>
        <v>584.3</v>
      </c>
      <c r="F66" t="str">
        <f>"601.0"</f>
        <v>601.0</v>
      </c>
      <c r="G66" t="str">
        <f>"1,768.1"</f>
        <v>1,768.1</v>
      </c>
    </row>
    <row r="67" spans="1:7" x14ac:dyDescent="0.35">
      <c r="A67" s="2">
        <v>63</v>
      </c>
      <c r="B67" t="str">
        <f>"Sutherlin, Alison (275933)"</f>
        <v>Sutherlin, Alison (275933)</v>
      </c>
      <c r="C67" t="str">
        <f>"1037874"</f>
        <v>1037874</v>
      </c>
      <c r="D67" t="str">
        <f>"585.5"</f>
        <v>585.5</v>
      </c>
      <c r="E67" t="str">
        <f>"590.8"</f>
        <v>590.8</v>
      </c>
      <c r="F67" t="str">
        <f>"589.1"</f>
        <v>589.1</v>
      </c>
      <c r="G67" t="str">
        <f>"1,765.4"</f>
        <v>1,765.4</v>
      </c>
    </row>
    <row r="68" spans="1:7" x14ac:dyDescent="0.35">
      <c r="A68" s="2">
        <v>64</v>
      </c>
      <c r="B68" t="str">
        <f>"Drozs, Morgan (254285)"</f>
        <v>Drozs, Morgan (254285)</v>
      </c>
      <c r="C68" t="str">
        <f>"1041017"</f>
        <v>1041017</v>
      </c>
      <c r="D68" t="str">
        <f>"582.0"</f>
        <v>582.0</v>
      </c>
      <c r="E68" t="str">
        <f>"595.4"</f>
        <v>595.4</v>
      </c>
      <c r="F68" t="str">
        <f>"586.9"</f>
        <v>586.9</v>
      </c>
      <c r="G68" t="str">
        <f>"1,764.3"</f>
        <v>1,764.3</v>
      </c>
    </row>
    <row r="69" spans="1:7" x14ac:dyDescent="0.35">
      <c r="A69" s="2">
        <v>65</v>
      </c>
      <c r="B69" t="str">
        <f>"Swick, Ziva (308974)"</f>
        <v>Swick, Ziva (308974)</v>
      </c>
      <c r="C69" t="str">
        <f>"1042599"</f>
        <v>1042599</v>
      </c>
      <c r="D69" t="str">
        <f>"588.2"</f>
        <v>588.2</v>
      </c>
      <c r="E69" t="str">
        <f>"587.7"</f>
        <v>587.7</v>
      </c>
      <c r="F69" t="str">
        <f>"588.2"</f>
        <v>588.2</v>
      </c>
      <c r="G69" t="str">
        <f>"1,764.1"</f>
        <v>1,764.1</v>
      </c>
    </row>
    <row r="70" spans="1:7" x14ac:dyDescent="0.35">
      <c r="A70" s="2">
        <v>66</v>
      </c>
      <c r="B70" t="str">
        <f>"Corbett, Grace (370517)"</f>
        <v>Corbett, Grace (370517)</v>
      </c>
      <c r="C70" t="str">
        <f>"1043531"</f>
        <v>1043531</v>
      </c>
      <c r="D70" t="str">
        <f>"582.7"</f>
        <v>582.7</v>
      </c>
      <c r="E70" t="str">
        <f>"587.9"</f>
        <v>587.9</v>
      </c>
      <c r="F70" t="str">
        <f>"591.2"</f>
        <v>591.2</v>
      </c>
      <c r="G70" t="str">
        <f>"1,761.8"</f>
        <v>1,761.8</v>
      </c>
    </row>
    <row r="71" spans="1:7" x14ac:dyDescent="0.35">
      <c r="A71" s="2">
        <v>67</v>
      </c>
      <c r="B71" t="str">
        <f>"Warsaw, Ellis (321807)"</f>
        <v>Warsaw, Ellis (321807)</v>
      </c>
      <c r="C71" t="str">
        <f>"1040563"</f>
        <v>1040563</v>
      </c>
      <c r="D71" t="str">
        <f>"585.3"</f>
        <v>585.3</v>
      </c>
      <c r="E71" t="str">
        <f>"582.4"</f>
        <v>582.4</v>
      </c>
      <c r="F71" t="str">
        <f>"589.9"</f>
        <v>589.9</v>
      </c>
      <c r="G71" t="str">
        <f>"1,757.6"</f>
        <v>1,757.6</v>
      </c>
    </row>
    <row r="72" spans="1:7" x14ac:dyDescent="0.35">
      <c r="A72" s="2">
        <v>68</v>
      </c>
      <c r="B72" t="str">
        <f>"West, Marina (371107)"</f>
        <v>West, Marina (371107)</v>
      </c>
      <c r="C72" t="str">
        <f>"1044495"</f>
        <v>1044495</v>
      </c>
      <c r="D72" t="str">
        <f>"584.1"</f>
        <v>584.1</v>
      </c>
      <c r="E72" t="str">
        <f>"575.9"</f>
        <v>575.9</v>
      </c>
      <c r="F72" t="str">
        <f>"593.5"</f>
        <v>593.5</v>
      </c>
      <c r="G72" t="str">
        <f>"1,753.5"</f>
        <v>1,753.5</v>
      </c>
    </row>
    <row r="73" spans="1:7" x14ac:dyDescent="0.35">
      <c r="A73" s="2">
        <v>69</v>
      </c>
      <c r="B73" t="str">
        <f>"McClelland, Rose (335676)"</f>
        <v>McClelland, Rose (335676)</v>
      </c>
      <c r="C73" t="str">
        <f>"1040936"</f>
        <v>1040936</v>
      </c>
      <c r="D73" t="str">
        <f>"576.2"</f>
        <v>576.2</v>
      </c>
      <c r="E73" t="str">
        <f>"588.1"</f>
        <v>588.1</v>
      </c>
      <c r="F73" t="str">
        <f>"588.9"</f>
        <v>588.9</v>
      </c>
      <c r="G73" t="str">
        <f>"1,753.2"</f>
        <v>1,753.2</v>
      </c>
    </row>
    <row r="74" spans="1:7" x14ac:dyDescent="0.35">
      <c r="A74" s="2">
        <v>70</v>
      </c>
      <c r="B74" t="str">
        <f>"Eichmann, Josie (334385)"</f>
        <v>Eichmann, Josie (334385)</v>
      </c>
      <c r="C74" t="str">
        <f>"1041352"</f>
        <v>1041352</v>
      </c>
      <c r="D74" t="str">
        <f>"581.4"</f>
        <v>581.4</v>
      </c>
      <c r="E74" t="str">
        <f>"593.2"</f>
        <v>593.2</v>
      </c>
      <c r="F74" t="str">
        <f>"574.7"</f>
        <v>574.7</v>
      </c>
      <c r="G74" t="str">
        <f>"1,749.3"</f>
        <v>1,749.3</v>
      </c>
    </row>
    <row r="75" spans="1:7" x14ac:dyDescent="0.35">
      <c r="A75" s="2">
        <v>71</v>
      </c>
      <c r="B75" t="str">
        <f>"Minden, Kaitlyn (333061)"</f>
        <v>Minden, Kaitlyn (333061)</v>
      </c>
      <c r="C75" t="str">
        <f>"1040696"</f>
        <v>1040696</v>
      </c>
      <c r="D75" t="str">
        <f>"582.6"</f>
        <v>582.6</v>
      </c>
      <c r="E75" t="str">
        <f>"576.7"</f>
        <v>576.7</v>
      </c>
      <c r="F75" t="str">
        <f>"586.1"</f>
        <v>586.1</v>
      </c>
      <c r="G75" t="str">
        <f>"1,745.4"</f>
        <v>1,745.4</v>
      </c>
    </row>
    <row r="76" spans="1:7" x14ac:dyDescent="0.35">
      <c r="A76" s="2">
        <v>72</v>
      </c>
      <c r="B76" t="str">
        <f>"Lee, Ella (318843)"</f>
        <v>Lee, Ella (318843)</v>
      </c>
      <c r="C76" t="str">
        <f>"1040681"</f>
        <v>1040681</v>
      </c>
      <c r="D76" t="str">
        <f>"582.2"</f>
        <v>582.2</v>
      </c>
      <c r="E76" t="str">
        <f>"581.3"</f>
        <v>581.3</v>
      </c>
      <c r="F76" t="str">
        <f>"573.7"</f>
        <v>573.7</v>
      </c>
      <c r="G76" t="str">
        <f>"1,737.2"</f>
        <v>1,737.2</v>
      </c>
    </row>
    <row r="77" spans="1:7" x14ac:dyDescent="0.35">
      <c r="A77" s="2">
        <v>73</v>
      </c>
      <c r="B77" t="str">
        <f>"Counter, Claire (400566)"</f>
        <v>Counter, Claire (400566)</v>
      </c>
      <c r="C77" t="str">
        <f>"1044441"</f>
        <v>1044441</v>
      </c>
      <c r="D77" t="str">
        <f>"582.6"</f>
        <v>582.6</v>
      </c>
      <c r="E77" t="str">
        <f>"579.6"</f>
        <v>579.6</v>
      </c>
      <c r="F77" t="str">
        <f>"572.8"</f>
        <v>572.8</v>
      </c>
      <c r="G77" t="str">
        <f>"1,735.0"</f>
        <v>1,735.0</v>
      </c>
    </row>
    <row r="78" spans="1:7" x14ac:dyDescent="0.35">
      <c r="A78" s="2">
        <v>74</v>
      </c>
      <c r="B78" t="str">
        <f>"Dunn, Riley (361077)"</f>
        <v>Dunn, Riley (361077)</v>
      </c>
      <c r="C78" t="str">
        <f>"1042422"</f>
        <v>1042422</v>
      </c>
      <c r="D78" t="str">
        <f>"588.1"</f>
        <v>588.1</v>
      </c>
      <c r="E78" t="str">
        <f>"578.4"</f>
        <v>578.4</v>
      </c>
      <c r="F78" t="str">
        <f>"563.0"</f>
        <v>563.0</v>
      </c>
      <c r="G78" t="str">
        <f>"1,729.5"</f>
        <v>1,729.5</v>
      </c>
    </row>
    <row r="79" spans="1:7" x14ac:dyDescent="0.35">
      <c r="A79" s="2">
        <v>75</v>
      </c>
      <c r="B79" t="str">
        <f>"Tieszen, Ashley (305956)"</f>
        <v>Tieszen, Ashley (305956)</v>
      </c>
      <c r="C79" t="str">
        <f>"1038865"</f>
        <v>1038865</v>
      </c>
      <c r="D79" t="str">
        <f>"583.8"</f>
        <v>583.8</v>
      </c>
      <c r="E79" t="str">
        <f>"582.5"</f>
        <v>582.5</v>
      </c>
      <c r="F79" t="str">
        <f>"561.5"</f>
        <v>561.5</v>
      </c>
      <c r="G79" t="str">
        <f>"1,727.8"</f>
        <v>1,727.8</v>
      </c>
    </row>
    <row r="80" spans="1:7" x14ac:dyDescent="0.35">
      <c r="A80" s="2">
        <v>76</v>
      </c>
      <c r="B80" t="str">
        <f>"Todd, Hannah (281258)"</f>
        <v>Todd, Hannah (281258)</v>
      </c>
      <c r="C80" t="str">
        <f>"1043639"</f>
        <v>1043639</v>
      </c>
      <c r="D80" t="str">
        <f>"581.3"</f>
        <v>581.3</v>
      </c>
      <c r="E80" t="str">
        <f>"563.4"</f>
        <v>563.4</v>
      </c>
      <c r="F80" t="str">
        <f>"566.2"</f>
        <v>566.2</v>
      </c>
      <c r="G80" t="str">
        <f>"1,710.9"</f>
        <v>1,710.9</v>
      </c>
    </row>
    <row r="81" spans="1:7" x14ac:dyDescent="0.35">
      <c r="A81" s="2">
        <v>77</v>
      </c>
      <c r="B81" t="str">
        <f>"Haymond, Ashley (380824)"</f>
        <v>Haymond, Ashley (380824)</v>
      </c>
      <c r="C81" t="str">
        <f>"1042107"</f>
        <v>1042107</v>
      </c>
      <c r="D81" t="str">
        <f>"549.6"</f>
        <v>549.6</v>
      </c>
      <c r="E81" t="str">
        <f>"580.6"</f>
        <v>580.6</v>
      </c>
      <c r="F81" t="str">
        <f>"578.5"</f>
        <v>578.5</v>
      </c>
      <c r="G81" t="str">
        <f>"1,708.7"</f>
        <v>1,708.7</v>
      </c>
    </row>
    <row r="82" spans="1:7" x14ac:dyDescent="0.35">
      <c r="A82" s="2">
        <v>78</v>
      </c>
      <c r="B82" t="str">
        <f>"Tieszen, Katelyn (358937)"</f>
        <v>Tieszen, Katelyn (358937)</v>
      </c>
      <c r="C82" t="str">
        <f>"1042175"</f>
        <v>1042175</v>
      </c>
      <c r="D82" t="str">
        <f>"573.4"</f>
        <v>573.4</v>
      </c>
      <c r="E82" t="str">
        <f>"556.2"</f>
        <v>556.2</v>
      </c>
      <c r="F82" t="str">
        <f>"553.0"</f>
        <v>553.0</v>
      </c>
      <c r="G82" t="str">
        <f>"1,682.6"</f>
        <v>1,682.6</v>
      </c>
    </row>
    <row r="83" spans="1:7" x14ac:dyDescent="0.35">
      <c r="A83" s="2">
        <v>79</v>
      </c>
      <c r="B83" t="str">
        <f>"Heschel, Diane (232773)"</f>
        <v>Heschel, Diane (232773)</v>
      </c>
      <c r="C83" t="str">
        <f>"1038878"</f>
        <v>1038878</v>
      </c>
      <c r="D83" t="str">
        <f>"568.6"</f>
        <v>568.6</v>
      </c>
      <c r="E83" t="str">
        <f>"554.5"</f>
        <v>554.5</v>
      </c>
      <c r="F83" t="str">
        <f>"557.8"</f>
        <v>557.8</v>
      </c>
      <c r="G83" t="str">
        <f>"1,680.9"</f>
        <v>1,680.9</v>
      </c>
    </row>
    <row r="84" spans="1:7" x14ac:dyDescent="0.35">
      <c r="A84" s="2">
        <v>80</v>
      </c>
      <c r="B84" t="str">
        <f>"Baker, Sydney (378702)"</f>
        <v>Baker, Sydney (378702)</v>
      </c>
      <c r="C84" t="str">
        <f>"1044539"</f>
        <v>1044539</v>
      </c>
      <c r="D84" t="str">
        <f>"556.4"</f>
        <v>556.4</v>
      </c>
      <c r="E84" t="str">
        <f>"552.0"</f>
        <v>552.0</v>
      </c>
      <c r="F84" t="str">
        <f>"572.4"</f>
        <v>572.4</v>
      </c>
      <c r="G84" t="str">
        <f>"1,680.8"</f>
        <v>1,680.8</v>
      </c>
    </row>
    <row r="85" spans="1:7" x14ac:dyDescent="0.35">
      <c r="A85" s="2">
        <v>81</v>
      </c>
      <c r="B85" t="str">
        <f>"Palmer, Cala (383406)"</f>
        <v>Palmer, Cala (383406)</v>
      </c>
      <c r="C85" t="str">
        <f>"1044037"</f>
        <v>1044037</v>
      </c>
      <c r="D85" t="str">
        <f>"550.6"</f>
        <v>550.6</v>
      </c>
      <c r="E85" t="str">
        <f>"551.2"</f>
        <v>551.2</v>
      </c>
      <c r="F85" t="str">
        <f>"558.1"</f>
        <v>558.1</v>
      </c>
      <c r="G85" t="str">
        <f>"1,659.9"</f>
        <v>1,659.9</v>
      </c>
    </row>
    <row r="86" spans="1:7" x14ac:dyDescent="0.35">
      <c r="A86" s="2">
        <v>82</v>
      </c>
      <c r="B86" t="str">
        <f>"Pham, Isabella (372186)"</f>
        <v>Pham, Isabella (372186)</v>
      </c>
      <c r="C86" t="str">
        <f>"1043329"</f>
        <v>1043329</v>
      </c>
      <c r="D86" t="str">
        <f>"562.5"</f>
        <v>562.5</v>
      </c>
      <c r="E86" t="str">
        <f>"551.4"</f>
        <v>551.4</v>
      </c>
      <c r="F86" t="str">
        <f>"536.7"</f>
        <v>536.7</v>
      </c>
      <c r="G86" t="str">
        <f>"1,650.6"</f>
        <v>1,650.6</v>
      </c>
    </row>
    <row r="87" spans="1:7" x14ac:dyDescent="0.35">
      <c r="A87" s="2">
        <v>83</v>
      </c>
      <c r="B87" t="str">
        <f>"Hastings, Erica (362060)"</f>
        <v>Hastings, Erica (362060)</v>
      </c>
      <c r="C87" t="str">
        <f>"1043751"</f>
        <v>1043751</v>
      </c>
      <c r="D87" t="str">
        <f>"532.3"</f>
        <v>532.3</v>
      </c>
      <c r="E87" t="str">
        <f>"553.5"</f>
        <v>553.5</v>
      </c>
      <c r="F87" t="str">
        <f>"553.6"</f>
        <v>553.6</v>
      </c>
      <c r="G87" t="str">
        <f>"1,639.4"</f>
        <v>1,639.4</v>
      </c>
    </row>
    <row r="88" spans="1:7" x14ac:dyDescent="0.35">
      <c r="A88" s="2">
        <v>84</v>
      </c>
      <c r="B88" t="str">
        <f>"Eichmann, Gabbie (361618)"</f>
        <v>Eichmann, Gabbie (361618)</v>
      </c>
      <c r="C88" t="str">
        <f>"1044532"</f>
        <v>1044532</v>
      </c>
      <c r="D88" t="str">
        <f>"518.9"</f>
        <v>518.9</v>
      </c>
      <c r="E88" t="str">
        <f>"532.8"</f>
        <v>532.8</v>
      </c>
      <c r="F88" t="str">
        <f>"517.9"</f>
        <v>517.9</v>
      </c>
      <c r="G88" t="str">
        <f>"1,569.6"</f>
        <v>1,569.6</v>
      </c>
    </row>
  </sheetData>
  <mergeCells count="3">
    <mergeCell ref="A3:G3"/>
    <mergeCell ref="A1:G1"/>
    <mergeCell ref="A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</sheetPr>
  <dimension ref="A1:M11"/>
  <sheetViews>
    <sheetView workbookViewId="0">
      <selection sqref="A1:L1"/>
    </sheetView>
  </sheetViews>
  <sheetFormatPr defaultRowHeight="14.5" x14ac:dyDescent="0.35"/>
  <cols>
    <col min="1" max="1" width="5.7265625" style="2" bestFit="1" customWidth="1"/>
    <col min="2" max="2" width="24.54296875" bestFit="1" customWidth="1"/>
    <col min="3" max="9" width="7.7265625" bestFit="1" customWidth="1"/>
    <col min="10" max="10" width="7.1796875" bestFit="1" customWidth="1"/>
    <col min="11" max="11" width="11.1796875" bestFit="1" customWidth="1"/>
    <col min="12" max="12" width="10" bestFit="1" customWidth="1"/>
  </cols>
  <sheetData>
    <row r="1" spans="1:13" s="3" customFormat="1" x14ac:dyDescent="0.35">
      <c r="A1" s="8" t="str">
        <f>"2021 USAS Winter Air Gun - Air Rifle"</f>
        <v>2021 USAS Winter Air Gun - Air Rifle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3" s="3" customFormat="1" x14ac:dyDescent="0.35">
      <c r="A2" s="8" t="str">
        <f>"Camp Perry Women's Air Rifle Final"</f>
        <v>Camp Perry Women's Air Rifle Final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3" s="3" customFormat="1" x14ac:dyDescent="0.35">
      <c r="A3" s="2" t="str">
        <f>"Place"</f>
        <v>Place</v>
      </c>
      <c r="B3" s="3" t="str">
        <f>"Competitor (Comp Num)"</f>
        <v>Competitor (Comp Num)</v>
      </c>
      <c r="C3" s="3" t="str">
        <f>"Final S1"</f>
        <v>Final S1</v>
      </c>
      <c r="D3" s="3" t="str">
        <f>"Final S2"</f>
        <v>Final S2</v>
      </c>
      <c r="E3" s="3" t="str">
        <f>"Final S3"</f>
        <v>Final S3</v>
      </c>
      <c r="F3" s="3" t="str">
        <f>"Final S4"</f>
        <v>Final S4</v>
      </c>
      <c r="G3" s="3" t="str">
        <f>"Final S5"</f>
        <v>Final S5</v>
      </c>
      <c r="H3" s="3" t="str">
        <f>"Final S6"</f>
        <v>Final S6</v>
      </c>
      <c r="I3" s="3" t="str">
        <f>"Final S7"</f>
        <v>Final S7</v>
      </c>
      <c r="J3" s="3" t="str">
        <f>"Bronze"</f>
        <v>Bronze</v>
      </c>
      <c r="K3" s="3" t="str">
        <f>"Gold Medal"</f>
        <v>Gold Medal</v>
      </c>
      <c r="L3" s="3" t="str">
        <f>"Aggregate"</f>
        <v>Aggregate</v>
      </c>
    </row>
    <row r="4" spans="1:13" x14ac:dyDescent="0.35">
      <c r="A4" s="2">
        <v>1</v>
      </c>
      <c r="B4" t="str">
        <f>"McGhin, Molly (207993)"</f>
        <v>McGhin, Molly (207993)</v>
      </c>
      <c r="C4" t="str">
        <f>"51.0"</f>
        <v>51.0</v>
      </c>
      <c r="D4" t="str">
        <f>"52.5"</f>
        <v>52.5</v>
      </c>
      <c r="E4" t="str">
        <f>"20.2"</f>
        <v>20.2</v>
      </c>
      <c r="F4" t="str">
        <f>"20.4"</f>
        <v>20.4</v>
      </c>
      <c r="G4" t="str">
        <f>"20.6"</f>
        <v>20.6</v>
      </c>
      <c r="H4" t="str">
        <f>"20.9"</f>
        <v>20.9</v>
      </c>
      <c r="I4" t="str">
        <f>"21.3"</f>
        <v>21.3</v>
      </c>
      <c r="J4" t="str">
        <f>"21.2"</f>
        <v>21.2</v>
      </c>
      <c r="K4" t="str">
        <f>"21.0"</f>
        <v>21.0</v>
      </c>
      <c r="L4" t="str">
        <f>"249.1"</f>
        <v>249.1</v>
      </c>
      <c r="M4" s="5" t="s">
        <v>36</v>
      </c>
    </row>
    <row r="5" spans="1:13" x14ac:dyDescent="0.35">
      <c r="A5" s="2">
        <v>2</v>
      </c>
      <c r="B5" t="str">
        <f>"Perrin, Natalie (279907)"</f>
        <v>Perrin, Natalie (279907)</v>
      </c>
      <c r="C5" t="str">
        <f>"52.3"</f>
        <v>52.3</v>
      </c>
      <c r="D5" t="str">
        <f>"51.3"</f>
        <v>51.3</v>
      </c>
      <c r="E5" t="str">
        <f>"19.9"</f>
        <v>19.9</v>
      </c>
      <c r="F5" t="str">
        <f>"20.1"</f>
        <v>20.1</v>
      </c>
      <c r="G5" t="str">
        <f>"20.8"</f>
        <v>20.8</v>
      </c>
      <c r="H5" t="str">
        <f>"20.4"</f>
        <v>20.4</v>
      </c>
      <c r="I5" t="str">
        <f>"21.1"</f>
        <v>21.1</v>
      </c>
      <c r="J5" t="str">
        <f>"21.1"</f>
        <v>21.1</v>
      </c>
      <c r="K5" t="str">
        <f>"20.3"</f>
        <v>20.3</v>
      </c>
      <c r="L5" t="str">
        <f>"247.3"</f>
        <v>247.3</v>
      </c>
      <c r="M5" s="6" t="s">
        <v>39</v>
      </c>
    </row>
    <row r="6" spans="1:13" x14ac:dyDescent="0.35">
      <c r="A6" s="2">
        <v>3</v>
      </c>
      <c r="B6" t="str">
        <f>"Haverhill, Jeanne (257863)"</f>
        <v>Haverhill, Jeanne (257863)</v>
      </c>
      <c r="C6" t="str">
        <f>"50.7"</f>
        <v>50.7</v>
      </c>
      <c r="D6" t="str">
        <f>"52.4"</f>
        <v>52.4</v>
      </c>
      <c r="E6" t="str">
        <f>"20.3"</f>
        <v>20.3</v>
      </c>
      <c r="F6" t="str">
        <f>"20.5"</f>
        <v>20.5</v>
      </c>
      <c r="G6" t="str">
        <f>"19.9"</f>
        <v>19.9</v>
      </c>
      <c r="H6" t="str">
        <f>"21.1"</f>
        <v>21.1</v>
      </c>
      <c r="I6" t="str">
        <f>"19.7"</f>
        <v>19.7</v>
      </c>
      <c r="J6" t="str">
        <f>"20.6"</f>
        <v>20.6</v>
      </c>
      <c r="K6" t="str">
        <f>""</f>
        <v/>
      </c>
      <c r="L6" t="str">
        <f>"225.2"</f>
        <v>225.2</v>
      </c>
      <c r="M6" s="7" t="s">
        <v>41</v>
      </c>
    </row>
    <row r="7" spans="1:13" x14ac:dyDescent="0.35">
      <c r="A7" s="2">
        <v>4</v>
      </c>
      <c r="B7" t="str">
        <f>"Hays, Julianna (277153)"</f>
        <v>Hays, Julianna (277153)</v>
      </c>
      <c r="C7" t="str">
        <f>"52.9"</f>
        <v>52.9</v>
      </c>
      <c r="D7" t="str">
        <f>"51.2"</f>
        <v>51.2</v>
      </c>
      <c r="E7" t="str">
        <f>"20.1"</f>
        <v>20.1</v>
      </c>
      <c r="F7" t="str">
        <f>"19.8"</f>
        <v>19.8</v>
      </c>
      <c r="G7" t="str">
        <f>"19.4"</f>
        <v>19.4</v>
      </c>
      <c r="H7" t="str">
        <f>"20.5"</f>
        <v>20.5</v>
      </c>
      <c r="I7" t="str">
        <f>"19.7"</f>
        <v>19.7</v>
      </c>
      <c r="J7" t="str">
        <f>""</f>
        <v/>
      </c>
      <c r="K7" t="str">
        <f>""</f>
        <v/>
      </c>
      <c r="L7" t="str">
        <f>"203.6"</f>
        <v>203.6</v>
      </c>
    </row>
    <row r="8" spans="1:13" x14ac:dyDescent="0.35">
      <c r="A8" s="2">
        <v>5</v>
      </c>
      <c r="B8" t="str">
        <f>"Butler, Bremen (301932)"</f>
        <v>Butler, Bremen (301932)</v>
      </c>
      <c r="C8" t="str">
        <f>"49.5"</f>
        <v>49.5</v>
      </c>
      <c r="D8" t="str">
        <f>"52.0"</f>
        <v>52.0</v>
      </c>
      <c r="E8" t="str">
        <f>"20.6"</f>
        <v>20.6</v>
      </c>
      <c r="F8" t="str">
        <f>"20.8"</f>
        <v>20.8</v>
      </c>
      <c r="G8" t="str">
        <f>"20.6"</f>
        <v>20.6</v>
      </c>
      <c r="H8" t="str">
        <f>"19.7"</f>
        <v>19.7</v>
      </c>
      <c r="I8" t="str">
        <f>""</f>
        <v/>
      </c>
      <c r="J8" t="str">
        <f>""</f>
        <v/>
      </c>
      <c r="K8" t="str">
        <f>""</f>
        <v/>
      </c>
      <c r="L8" t="str">
        <f>"183.2"</f>
        <v>183.2</v>
      </c>
    </row>
    <row r="9" spans="1:13" x14ac:dyDescent="0.35">
      <c r="A9" s="2">
        <v>6</v>
      </c>
      <c r="B9" t="str">
        <f>"Demerle, Katrina (224913)"</f>
        <v>Demerle, Katrina (224913)</v>
      </c>
      <c r="C9" t="str">
        <f>"52.3"</f>
        <v>52.3</v>
      </c>
      <c r="D9" t="str">
        <f>"49.4"</f>
        <v>49.4</v>
      </c>
      <c r="E9" t="str">
        <f>"20.2"</f>
        <v>20.2</v>
      </c>
      <c r="F9" t="str">
        <f>"20.7"</f>
        <v>20.7</v>
      </c>
      <c r="G9" t="str">
        <f>"20.5"</f>
        <v>20.5</v>
      </c>
      <c r="H9" t="str">
        <f>""</f>
        <v/>
      </c>
      <c r="I9" t="str">
        <f>""</f>
        <v/>
      </c>
      <c r="J9" t="str">
        <f>""</f>
        <v/>
      </c>
      <c r="K9" t="str">
        <f>""</f>
        <v/>
      </c>
      <c r="L9" t="str">
        <f>"163.1"</f>
        <v>163.1</v>
      </c>
    </row>
    <row r="10" spans="1:13" x14ac:dyDescent="0.35">
      <c r="A10" s="2">
        <v>7</v>
      </c>
      <c r="B10" t="str">
        <f>"Layland, Clarissa (255915)"</f>
        <v>Layland, Clarissa (255915)</v>
      </c>
      <c r="C10" t="str">
        <f>"51.1"</f>
        <v>51.1</v>
      </c>
      <c r="D10" t="str">
        <f>"52.1"</f>
        <v>52.1</v>
      </c>
      <c r="E10" t="str">
        <f>"19.3"</f>
        <v>19.3</v>
      </c>
      <c r="F10" t="str">
        <f>"20.0"</f>
        <v>20.0</v>
      </c>
      <c r="G10" t="str">
        <f>""</f>
        <v/>
      </c>
      <c r="H10" t="str">
        <f>""</f>
        <v/>
      </c>
      <c r="I10" t="str">
        <f>""</f>
        <v/>
      </c>
      <c r="J10" t="str">
        <f>""</f>
        <v/>
      </c>
      <c r="K10" t="str">
        <f>""</f>
        <v/>
      </c>
      <c r="L10" t="str">
        <f>"142.5"</f>
        <v>142.5</v>
      </c>
    </row>
    <row r="11" spans="1:13" x14ac:dyDescent="0.35">
      <c r="A11" s="2">
        <v>8</v>
      </c>
      <c r="B11" t="str">
        <f>"Walrath, Emme (369838)"</f>
        <v>Walrath, Emme (369838)</v>
      </c>
      <c r="C11" t="str">
        <f>"49.8"</f>
        <v>49.8</v>
      </c>
      <c r="D11" t="str">
        <f>"50.6"</f>
        <v>50.6</v>
      </c>
      <c r="E11" t="str">
        <f>"20.5"</f>
        <v>20.5</v>
      </c>
      <c r="F11" t="str">
        <f>""</f>
        <v/>
      </c>
      <c r="G11" t="str">
        <f>""</f>
        <v/>
      </c>
      <c r="H11" t="str">
        <f>""</f>
        <v/>
      </c>
      <c r="I11" t="str">
        <f>""</f>
        <v/>
      </c>
      <c r="J11" t="str">
        <f>""</f>
        <v/>
      </c>
      <c r="K11" t="str">
        <f>""</f>
        <v/>
      </c>
      <c r="L11" t="str">
        <f>"120.9"</f>
        <v>120.9</v>
      </c>
    </row>
  </sheetData>
  <mergeCells count="2">
    <mergeCell ref="A1:L1"/>
    <mergeCell ref="A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</sheetPr>
  <dimension ref="A1:H153"/>
  <sheetViews>
    <sheetView zoomScaleNormal="100" workbookViewId="0">
      <selection sqref="A1:G1"/>
    </sheetView>
  </sheetViews>
  <sheetFormatPr defaultRowHeight="14.5" x14ac:dyDescent="0.35"/>
  <cols>
    <col min="1" max="1" width="7.54296875" style="2" bestFit="1" customWidth="1"/>
    <col min="2" max="2" width="32.453125" bestFit="1" customWidth="1"/>
    <col min="3" max="3" width="9.81640625" style="1" customWidth="1"/>
    <col min="4" max="6" width="8.81640625" bestFit="1" customWidth="1"/>
    <col min="7" max="7" width="10.453125" bestFit="1" customWidth="1"/>
  </cols>
  <sheetData>
    <row r="1" spans="1:7" x14ac:dyDescent="0.35">
      <c r="A1" s="8" t="str">
        <f>"2021 USAS Winter Air Gun - Air Rifle"</f>
        <v>2021 USAS Winter Air Gun - Air Rifle</v>
      </c>
      <c r="B1" s="8"/>
      <c r="C1" s="8"/>
      <c r="D1" s="8"/>
      <c r="E1" s="8"/>
      <c r="F1" s="8"/>
      <c r="G1" s="8"/>
    </row>
    <row r="2" spans="1:7" x14ac:dyDescent="0.35">
      <c r="A2" s="8" t="str">
        <f>"Camp Perry Age Group Aggregates"</f>
        <v>Camp Perry Age Group Aggregates</v>
      </c>
      <c r="B2" s="8"/>
      <c r="C2" s="8"/>
      <c r="D2" s="8"/>
      <c r="E2" s="8"/>
      <c r="F2" s="8"/>
      <c r="G2" s="8"/>
    </row>
    <row r="3" spans="1:7" s="1" customFormat="1" x14ac:dyDescent="0.35">
      <c r="A3" s="2" t="str">
        <f>"Place"</f>
        <v>Place</v>
      </c>
      <c r="B3" s="2" t="str">
        <f>"Competitor (Comp Num)"</f>
        <v>Competitor (Comp Num)</v>
      </c>
      <c r="C3" s="2" t="s">
        <v>2</v>
      </c>
      <c r="D3" s="2" t="str">
        <f>"D1 60"</f>
        <v>D1 60</v>
      </c>
      <c r="E3" s="2" t="str">
        <f>"D2 60"</f>
        <v>D2 60</v>
      </c>
      <c r="F3" s="2" t="str">
        <f>"D3 60"</f>
        <v>D3 60</v>
      </c>
      <c r="G3" s="2" t="str">
        <f>"Aggregate"</f>
        <v>Aggregate</v>
      </c>
    </row>
    <row r="4" spans="1:7" x14ac:dyDescent="0.35">
      <c r="A4" s="2" t="str">
        <f>"OPEN"</f>
        <v>OPEN</v>
      </c>
    </row>
    <row r="5" spans="1:7" x14ac:dyDescent="0.35">
      <c r="A5">
        <v>1</v>
      </c>
      <c r="B5" t="str">
        <f>"Haverhill, Jeanne (257863)"</f>
        <v>Haverhill, Jeanne (257863)</v>
      </c>
      <c r="C5" s="1" t="s">
        <v>9</v>
      </c>
      <c r="D5" t="str">
        <f>"623.1 - 0"</f>
        <v>623.1 - 0</v>
      </c>
      <c r="E5" t="str">
        <f>"624.8 - 0"</f>
        <v>624.8 - 0</v>
      </c>
      <c r="F5" t="str">
        <f>"624.6 - 0"</f>
        <v>624.6 - 0</v>
      </c>
      <c r="G5" t="str">
        <f>"1,872.5 - 0"</f>
        <v>1,872.5 - 0</v>
      </c>
    </row>
    <row r="6" spans="1:7" x14ac:dyDescent="0.35">
      <c r="A6">
        <v>2</v>
      </c>
      <c r="B6" t="str">
        <f>"Shimizu, Akihito (400449)"</f>
        <v>Shimizu, Akihito (400449)</v>
      </c>
      <c r="C6" s="1" t="s">
        <v>13</v>
      </c>
      <c r="D6" t="str">
        <f>"622.5 - 0"</f>
        <v>622.5 - 0</v>
      </c>
      <c r="E6" t="str">
        <f>"625.1 - 0"</f>
        <v>625.1 - 0</v>
      </c>
      <c r="F6" t="str">
        <f>"622.1 - 0"</f>
        <v>622.1 - 0</v>
      </c>
      <c r="G6" t="str">
        <f>"1,869.7 - 0"</f>
        <v>1,869.7 - 0</v>
      </c>
    </row>
    <row r="7" spans="1:7" x14ac:dyDescent="0.35">
      <c r="A7">
        <v>3</v>
      </c>
      <c r="B7" t="str">
        <f>"Zanti, Michael (106575)"</f>
        <v>Zanti, Michael (106575)</v>
      </c>
      <c r="C7" s="1" t="s">
        <v>13</v>
      </c>
      <c r="D7" t="str">
        <f>"620.1 - 0"</f>
        <v>620.1 - 0</v>
      </c>
      <c r="E7" t="str">
        <f>"623.0 - 0"</f>
        <v>623.0 - 0</v>
      </c>
      <c r="F7" t="str">
        <f>"624.2 - 0"</f>
        <v>624.2 - 0</v>
      </c>
      <c r="G7" t="str">
        <f>"1,867.3 - 0"</f>
        <v>1,867.3 - 0</v>
      </c>
    </row>
    <row r="8" spans="1:7" x14ac:dyDescent="0.35">
      <c r="A8">
        <v>4</v>
      </c>
      <c r="B8" t="str">
        <f>"McAferty, Kellen (200141)"</f>
        <v>McAferty, Kellen (200141)</v>
      </c>
      <c r="C8" s="1" t="s">
        <v>13</v>
      </c>
      <c r="D8" t="str">
        <f>"622.5 - 0"</f>
        <v>622.5 - 0</v>
      </c>
      <c r="E8" t="str">
        <f>"620.1 - 0"</f>
        <v>620.1 - 0</v>
      </c>
      <c r="F8" t="str">
        <f>"621.4 - 0"</f>
        <v>621.4 - 0</v>
      </c>
      <c r="G8" t="str">
        <f>"1,864.0 - 0"</f>
        <v>1,864.0 - 0</v>
      </c>
    </row>
    <row r="9" spans="1:7" x14ac:dyDescent="0.35">
      <c r="A9">
        <v>5</v>
      </c>
      <c r="B9" t="str">
        <f>"Clark, Richard (229901)"</f>
        <v>Clark, Richard (229901)</v>
      </c>
      <c r="C9" s="1" t="s">
        <v>13</v>
      </c>
      <c r="D9" t="str">
        <f>"617.3 - 0"</f>
        <v>617.3 - 0</v>
      </c>
      <c r="E9" t="str">
        <f>"619.8 - 0"</f>
        <v>619.8 - 0</v>
      </c>
      <c r="F9" t="str">
        <f>"621.5 - 0"</f>
        <v>621.5 - 0</v>
      </c>
      <c r="G9" t="str">
        <f>"1,858.6 - 0"</f>
        <v>1,858.6 - 0</v>
      </c>
    </row>
    <row r="10" spans="1:7" x14ac:dyDescent="0.35">
      <c r="A10">
        <v>6</v>
      </c>
      <c r="B10" t="str">
        <f>"Kaufman, Kera (227669)"</f>
        <v>Kaufman, Kera (227669)</v>
      </c>
      <c r="C10" s="1" t="s">
        <v>9</v>
      </c>
      <c r="D10" t="str">
        <f>"615.7 - 0"</f>
        <v>615.7 - 0</v>
      </c>
      <c r="E10" t="str">
        <f>"614.9 - 0"</f>
        <v>614.9 - 0</v>
      </c>
      <c r="F10" t="str">
        <f>"617.2 - 0"</f>
        <v>617.2 - 0</v>
      </c>
      <c r="G10" t="str">
        <f>"1,847.8 - 0"</f>
        <v>1,847.8 - 0</v>
      </c>
    </row>
    <row r="11" spans="1:7" x14ac:dyDescent="0.35">
      <c r="A11">
        <v>7</v>
      </c>
      <c r="B11" t="str">
        <f>"Cover, Chance (50286)"</f>
        <v>Cover, Chance (50286)</v>
      </c>
      <c r="C11" s="1" t="s">
        <v>13</v>
      </c>
      <c r="D11" t="str">
        <f>"618.3 - 0"</f>
        <v>618.3 - 0</v>
      </c>
      <c r="E11" t="str">
        <f>"615.0 - 0"</f>
        <v>615.0 - 0</v>
      </c>
      <c r="F11" t="str">
        <f>"610.5 - 0"</f>
        <v>610.5 - 0</v>
      </c>
      <c r="G11" t="str">
        <f>"1,843.8 - 0"</f>
        <v>1,843.8 - 0</v>
      </c>
    </row>
    <row r="12" spans="1:7" x14ac:dyDescent="0.35">
      <c r="A12">
        <v>8</v>
      </c>
      <c r="B12" t="str">
        <f>"Kelly, Alana (168868)"</f>
        <v>Kelly, Alana (168868)</v>
      </c>
      <c r="C12" s="1" t="s">
        <v>9</v>
      </c>
      <c r="D12" t="str">
        <f>"617.8 - 0"</f>
        <v>617.8 - 0</v>
      </c>
      <c r="E12" t="str">
        <f>"612.6 - 0"</f>
        <v>612.6 - 0</v>
      </c>
      <c r="F12" t="str">
        <f>"609.3 - 0"</f>
        <v>609.3 - 0</v>
      </c>
      <c r="G12" t="str">
        <f>"1,839.7 - 0"</f>
        <v>1,839.7 - 0</v>
      </c>
    </row>
    <row r="13" spans="1:7" x14ac:dyDescent="0.35">
      <c r="A13">
        <v>9</v>
      </c>
      <c r="B13" t="str">
        <f>"Klusmeier, Julie (184785)"</f>
        <v>Klusmeier, Julie (184785)</v>
      </c>
      <c r="C13" s="1" t="s">
        <v>9</v>
      </c>
      <c r="D13" t="str">
        <f>"610.3 - 0"</f>
        <v>610.3 - 0</v>
      </c>
      <c r="E13" t="str">
        <f>"616.5 - 0"</f>
        <v>616.5 - 0</v>
      </c>
      <c r="F13" t="str">
        <f>"611.2 - 0"</f>
        <v>611.2 - 0</v>
      </c>
      <c r="G13" t="str">
        <f>"1,838.0 - 0"</f>
        <v>1,838.0 - 0</v>
      </c>
    </row>
    <row r="14" spans="1:7" x14ac:dyDescent="0.35">
      <c r="A14">
        <v>10</v>
      </c>
      <c r="B14" t="str">
        <f>"Lopez Gasca, Ivan Camilo (400447)"</f>
        <v>Lopez Gasca, Ivan Camilo (400447)</v>
      </c>
      <c r="C14" s="1" t="s">
        <v>13</v>
      </c>
      <c r="D14" t="str">
        <f>"605.6 - 0"</f>
        <v>605.6 - 0</v>
      </c>
      <c r="E14" t="str">
        <f>"611.2 - 0"</f>
        <v>611.2 - 0</v>
      </c>
      <c r="F14" t="str">
        <f>"598.6 - 0"</f>
        <v>598.6 - 0</v>
      </c>
      <c r="G14" t="str">
        <f>"1,815.4 - 0"</f>
        <v>1,815.4 - 0</v>
      </c>
    </row>
    <row r="15" spans="1:7" x14ac:dyDescent="0.35">
      <c r="A15">
        <v>11</v>
      </c>
      <c r="B15" t="str">
        <f>"Berens, Shane (252835)"</f>
        <v>Berens, Shane (252835)</v>
      </c>
      <c r="C15" s="1" t="s">
        <v>13</v>
      </c>
      <c r="D15" t="str">
        <f>"592.5 - 0"</f>
        <v>592.5 - 0</v>
      </c>
      <c r="E15" t="str">
        <f>"581.4 - 0"</f>
        <v>581.4 - 0</v>
      </c>
      <c r="F15" t="str">
        <f>"597.5 - 0"</f>
        <v>597.5 - 0</v>
      </c>
      <c r="G15" t="str">
        <f>"1,771.4 - 0"</f>
        <v>1,771.4 - 0</v>
      </c>
    </row>
    <row r="17" spans="1:8" x14ac:dyDescent="0.35">
      <c r="A17" s="2" t="str">
        <f>"U21"</f>
        <v>U21</v>
      </c>
    </row>
    <row r="18" spans="1:8" x14ac:dyDescent="0.35">
      <c r="A18" s="2">
        <v>1</v>
      </c>
      <c r="B18" t="str">
        <f>"Perrin, Natalie (279907)"</f>
        <v>Perrin, Natalie (279907)</v>
      </c>
      <c r="C18" s="1" t="s">
        <v>9</v>
      </c>
      <c r="D18" t="str">
        <f>"630.3 - 0"</f>
        <v>630.3 - 0</v>
      </c>
      <c r="E18" t="str">
        <f>"629.5 - 0"</f>
        <v>629.5 - 0</v>
      </c>
      <c r="F18" t="str">
        <f>"626.3 - 0"</f>
        <v>626.3 - 0</v>
      </c>
      <c r="G18" t="str">
        <f>"1,886.1 - 0"</f>
        <v>1,886.1 - 0</v>
      </c>
      <c r="H18" s="5" t="s">
        <v>36</v>
      </c>
    </row>
    <row r="19" spans="1:8" x14ac:dyDescent="0.35">
      <c r="A19" s="2">
        <v>2</v>
      </c>
      <c r="B19" t="str">
        <f>"Kissell, Rylan (247859)"</f>
        <v>Kissell, Rylan (247859)</v>
      </c>
      <c r="C19" s="1" t="s">
        <v>13</v>
      </c>
      <c r="D19" t="str">
        <f>"626.1 - 0"</f>
        <v>626.1 - 0</v>
      </c>
      <c r="E19" t="str">
        <f>"627.2 - 0"</f>
        <v>627.2 - 0</v>
      </c>
      <c r="F19" t="str">
        <f>"629.4 - 0"</f>
        <v>629.4 - 0</v>
      </c>
      <c r="G19" t="str">
        <f>"1,882.7 - 0"</f>
        <v>1,882.7 - 0</v>
      </c>
      <c r="H19" s="5" t="s">
        <v>36</v>
      </c>
    </row>
    <row r="20" spans="1:8" x14ac:dyDescent="0.35">
      <c r="A20" s="2">
        <v>3</v>
      </c>
      <c r="B20" t="str">
        <f>"Sanchez, Matthew (242657)"</f>
        <v>Sanchez, Matthew (242657)</v>
      </c>
      <c r="C20" s="1" t="s">
        <v>13</v>
      </c>
      <c r="D20" t="str">
        <f>"618.0 - 0"</f>
        <v>618.0 - 0</v>
      </c>
      <c r="E20" t="str">
        <f>"625.1 - 0"</f>
        <v>625.1 - 0</v>
      </c>
      <c r="F20" t="str">
        <f>"620.9 - 0"</f>
        <v>620.9 - 0</v>
      </c>
      <c r="G20" t="str">
        <f>"1,864.0 - 0"</f>
        <v>1,864.0 - 0</v>
      </c>
      <c r="H20" s="6" t="s">
        <v>39</v>
      </c>
    </row>
    <row r="21" spans="1:8" x14ac:dyDescent="0.35">
      <c r="A21" s="2">
        <v>4</v>
      </c>
      <c r="B21" t="str">
        <f>"McGhin, Molly (207993)"</f>
        <v>McGhin, Molly (207993)</v>
      </c>
      <c r="C21" s="1" t="s">
        <v>9</v>
      </c>
      <c r="D21" t="str">
        <f>"617.7 - 0"</f>
        <v>617.7 - 0</v>
      </c>
      <c r="E21" t="str">
        <f>"617.8 - 0"</f>
        <v>617.8 - 0</v>
      </c>
      <c r="F21" t="str">
        <f>"624.2 - 0"</f>
        <v>624.2 - 0</v>
      </c>
      <c r="G21" t="str">
        <f>"1,859.7 - 0"</f>
        <v>1,859.7 - 0</v>
      </c>
      <c r="H21" s="6" t="s">
        <v>39</v>
      </c>
    </row>
    <row r="22" spans="1:8" x14ac:dyDescent="0.35">
      <c r="A22" s="2">
        <v>5</v>
      </c>
      <c r="B22" t="str">
        <f>"Layland, Clarissa (255915)"</f>
        <v>Layland, Clarissa (255915)</v>
      </c>
      <c r="C22" s="1" t="s">
        <v>9</v>
      </c>
      <c r="D22" t="str">
        <f>"618.0 - 0"</f>
        <v>618.0 - 0</v>
      </c>
      <c r="E22" t="str">
        <f>"618.1 - 0"</f>
        <v>618.1 - 0</v>
      </c>
      <c r="F22" t="str">
        <f>"621.7 - 0"</f>
        <v>621.7 - 0</v>
      </c>
      <c r="G22" t="str">
        <f>"1,857.8 - 0"</f>
        <v>1,857.8 - 0</v>
      </c>
      <c r="H22" s="7" t="s">
        <v>41</v>
      </c>
    </row>
    <row r="23" spans="1:8" x14ac:dyDescent="0.35">
      <c r="A23" s="2">
        <v>6</v>
      </c>
      <c r="B23" t="str">
        <f>"Brown, Malori (206645)"</f>
        <v>Brown, Malori (206645)</v>
      </c>
      <c r="C23" s="1" t="s">
        <v>9</v>
      </c>
      <c r="D23" t="str">
        <f>"620.0 - 0"</f>
        <v>620.0 - 0</v>
      </c>
      <c r="E23" t="str">
        <f>"618.2 - 0"</f>
        <v>618.2 - 0</v>
      </c>
      <c r="F23" t="str">
        <f>"613.6 - 0"</f>
        <v>613.6 - 0</v>
      </c>
      <c r="G23" t="str">
        <f>"1,851.8 - 0"</f>
        <v>1,851.8 - 0</v>
      </c>
    </row>
    <row r="24" spans="1:8" x14ac:dyDescent="0.35">
      <c r="A24" s="2">
        <v>7</v>
      </c>
      <c r="B24" t="str">
        <f>"Ossi, Cecelia  (278485)"</f>
        <v>Ossi, Cecelia  (278485)</v>
      </c>
      <c r="C24" s="1" t="s">
        <v>9</v>
      </c>
      <c r="D24" t="str">
        <f>"614.0 - 0"</f>
        <v>614.0 - 0</v>
      </c>
      <c r="E24" t="str">
        <f>"613.4 - 0"</f>
        <v>613.4 - 0</v>
      </c>
      <c r="F24" t="str">
        <f>"617.3 - 0"</f>
        <v>617.3 - 0</v>
      </c>
      <c r="G24" t="str">
        <f>"1,844.7 - 0"</f>
        <v>1,844.7 - 0</v>
      </c>
    </row>
    <row r="25" spans="1:8" x14ac:dyDescent="0.35">
      <c r="A25" s="2">
        <v>8</v>
      </c>
      <c r="B25" t="str">
        <f>"Shedd, McKenzie (299465)"</f>
        <v>Shedd, McKenzie (299465)</v>
      </c>
      <c r="C25" s="1" t="s">
        <v>9</v>
      </c>
      <c r="D25" t="str">
        <f>"611.1 - 0"</f>
        <v>611.1 - 0</v>
      </c>
      <c r="E25" t="str">
        <f>"615.7 - 0"</f>
        <v>615.7 - 0</v>
      </c>
      <c r="F25" t="str">
        <f>"614.2 - 0"</f>
        <v>614.2 - 0</v>
      </c>
      <c r="G25" t="str">
        <f>"1,841.0 - 0"</f>
        <v>1,841.0 - 0</v>
      </c>
    </row>
    <row r="26" spans="1:8" x14ac:dyDescent="0.35">
      <c r="A26" s="2">
        <v>9</v>
      </c>
      <c r="B26" t="str">
        <f>"Rhode, Emma (230446)"</f>
        <v>Rhode, Emma (230446)</v>
      </c>
      <c r="C26" s="1" t="s">
        <v>9</v>
      </c>
      <c r="D26" t="str">
        <f>"611.3 - 0"</f>
        <v>611.3 - 0</v>
      </c>
      <c r="E26" t="str">
        <f>"611.2 - 0"</f>
        <v>611.2 - 0</v>
      </c>
      <c r="F26" t="str">
        <f>"615.2 - 0"</f>
        <v>615.2 - 0</v>
      </c>
      <c r="G26" t="str">
        <f>"1,837.7 - 0"</f>
        <v>1,837.7 - 0</v>
      </c>
    </row>
    <row r="27" spans="1:8" x14ac:dyDescent="0.35">
      <c r="A27" s="2">
        <v>10</v>
      </c>
      <c r="B27" t="str">
        <f>"Duross, Andrew (254474)"</f>
        <v>Duross, Andrew (254474)</v>
      </c>
      <c r="C27" s="1" t="s">
        <v>13</v>
      </c>
      <c r="D27" t="str">
        <f>"607.5 - 0"</f>
        <v>607.5 - 0</v>
      </c>
      <c r="E27" t="str">
        <f>"613.3 - 0"</f>
        <v>613.3 - 0</v>
      </c>
      <c r="F27" t="str">
        <f>"616.3 - 0"</f>
        <v>616.3 - 0</v>
      </c>
      <c r="G27" t="str">
        <f>"1,837.1 - 0"</f>
        <v>1,837.1 - 0</v>
      </c>
      <c r="H27" s="7" t="s">
        <v>41</v>
      </c>
    </row>
    <row r="28" spans="1:8" x14ac:dyDescent="0.35">
      <c r="A28" s="2">
        <v>11</v>
      </c>
      <c r="B28" t="str">
        <f>"McLaughlin, Mackenzy (344635)"</f>
        <v>McLaughlin, Mackenzy (344635)</v>
      </c>
      <c r="C28" s="1" t="s">
        <v>9</v>
      </c>
      <c r="D28" t="str">
        <f>"613.7 - 0"</f>
        <v>613.7 - 0</v>
      </c>
      <c r="E28" t="str">
        <f>"611.5 - 0"</f>
        <v>611.5 - 0</v>
      </c>
      <c r="F28" t="str">
        <f>"611.9 - 0"</f>
        <v>611.9 - 0</v>
      </c>
      <c r="G28" t="str">
        <f>"1,837.1 - 0"</f>
        <v>1,837.1 - 0</v>
      </c>
    </row>
    <row r="29" spans="1:8" x14ac:dyDescent="0.35">
      <c r="A29" s="2">
        <v>12</v>
      </c>
      <c r="B29" t="str">
        <f>"Milvain, Stephanie (302878)"</f>
        <v>Milvain, Stephanie (302878)</v>
      </c>
      <c r="C29" s="1" t="s">
        <v>9</v>
      </c>
      <c r="D29" t="str">
        <f>"609.8 - 0"</f>
        <v>609.8 - 0</v>
      </c>
      <c r="E29" t="str">
        <f>"614.4 - 0"</f>
        <v>614.4 - 0</v>
      </c>
      <c r="F29" t="str">
        <f>"612.1 - 0"</f>
        <v>612.1 - 0</v>
      </c>
      <c r="G29" t="str">
        <f>"1,836.3 - 0"</f>
        <v>1,836.3 - 0</v>
      </c>
    </row>
    <row r="30" spans="1:8" x14ac:dyDescent="0.35">
      <c r="A30" s="2">
        <v>13</v>
      </c>
      <c r="B30" t="str">
        <f>"Weaver, Saxon (339717)"</f>
        <v>Weaver, Saxon (339717)</v>
      </c>
      <c r="C30" s="1" t="s">
        <v>13</v>
      </c>
      <c r="D30" t="str">
        <f>"614.2 - 0"</f>
        <v>614.2 - 0</v>
      </c>
      <c r="E30" t="str">
        <f>"611.1 - 0"</f>
        <v>611.1 - 0</v>
      </c>
      <c r="F30" t="str">
        <f>"608.2 - 0"</f>
        <v>608.2 - 0</v>
      </c>
      <c r="G30" t="str">
        <f>"1,833.5 - 0"</f>
        <v>1,833.5 - 0</v>
      </c>
    </row>
    <row r="31" spans="1:8" x14ac:dyDescent="0.35">
      <c r="A31" s="2">
        <v>14</v>
      </c>
      <c r="B31" t="str">
        <f>"Spanic, Lara (337462)"</f>
        <v>Spanic, Lara (337462)</v>
      </c>
      <c r="C31" s="1" t="s">
        <v>9</v>
      </c>
      <c r="D31" t="str">
        <f>"608.0 - 0"</f>
        <v>608.0 - 0</v>
      </c>
      <c r="E31" t="str">
        <f>"610.6 - 0"</f>
        <v>610.6 - 0</v>
      </c>
      <c r="F31" t="str">
        <f>"609.6 - 0"</f>
        <v>609.6 - 0</v>
      </c>
      <c r="G31" t="str">
        <f>"1,828.2 - 0"</f>
        <v>1,828.2 - 0</v>
      </c>
    </row>
    <row r="32" spans="1:8" x14ac:dyDescent="0.35">
      <c r="A32" s="2">
        <v>15</v>
      </c>
      <c r="B32" t="str">
        <f>"Cicatella, Lily (306433)"</f>
        <v>Cicatella, Lily (306433)</v>
      </c>
      <c r="C32" s="1" t="s">
        <v>9</v>
      </c>
      <c r="D32" t="str">
        <f>"611.8 - 0"</f>
        <v>611.8 - 0</v>
      </c>
      <c r="E32" t="str">
        <f>"610.3 - 0"</f>
        <v>610.3 - 0</v>
      </c>
      <c r="F32" t="str">
        <f>"603.3 - 0"</f>
        <v>603.3 - 0</v>
      </c>
      <c r="G32" t="str">
        <f>"1,825.4 - 0"</f>
        <v>1,825.4 - 0</v>
      </c>
    </row>
    <row r="33" spans="1:8" x14ac:dyDescent="0.35">
      <c r="A33" s="2">
        <v>16</v>
      </c>
      <c r="B33" t="str">
        <f>"Leppert, Victoria (327985)"</f>
        <v>Leppert, Victoria (327985)</v>
      </c>
      <c r="C33" s="1" t="s">
        <v>9</v>
      </c>
      <c r="D33" t="str">
        <f>"605.6 - 0"</f>
        <v>605.6 - 0</v>
      </c>
      <c r="E33" t="str">
        <f>"608.5 - 0"</f>
        <v>608.5 - 0</v>
      </c>
      <c r="F33" t="str">
        <f>"607.6 - 0"</f>
        <v>607.6 - 0</v>
      </c>
      <c r="G33" t="str">
        <f>"1,821.7 - 0"</f>
        <v>1,821.7 - 0</v>
      </c>
    </row>
    <row r="34" spans="1:8" x14ac:dyDescent="0.35">
      <c r="A34" s="2">
        <v>17</v>
      </c>
      <c r="B34" t="str">
        <f>"Reeke, Sally (301786)"</f>
        <v>Reeke, Sally (301786)</v>
      </c>
      <c r="C34" s="1" t="s">
        <v>9</v>
      </c>
      <c r="D34" t="str">
        <f>"605.3 - 0"</f>
        <v>605.3 - 0</v>
      </c>
      <c r="E34" t="str">
        <f>"612.6 - 0"</f>
        <v>612.6 - 0</v>
      </c>
      <c r="F34" t="str">
        <f>"602.3 - 0"</f>
        <v>602.3 - 0</v>
      </c>
      <c r="G34" t="str">
        <f>"1,820.2 - 0"</f>
        <v>1,820.2 - 0</v>
      </c>
    </row>
    <row r="35" spans="1:8" x14ac:dyDescent="0.35">
      <c r="A35" s="2">
        <v>18</v>
      </c>
      <c r="B35" t="str">
        <f>"Uhrich, Devin (310480)"</f>
        <v>Uhrich, Devin (310480)</v>
      </c>
      <c r="C35" s="1" t="s">
        <v>13</v>
      </c>
      <c r="D35" t="str">
        <f>"598.2 - 0"</f>
        <v>598.2 - 0</v>
      </c>
      <c r="E35" t="str">
        <f>"596.6 - 0"</f>
        <v>596.6 - 0</v>
      </c>
      <c r="F35" t="str">
        <f>"610.3 - 0"</f>
        <v>610.3 - 0</v>
      </c>
      <c r="G35" t="str">
        <f>"1,805.1 - 0"</f>
        <v>1,805.1 - 0</v>
      </c>
    </row>
    <row r="36" spans="1:8" x14ac:dyDescent="0.35">
      <c r="A36" s="2">
        <v>19</v>
      </c>
      <c r="B36" t="str">
        <f>"Hamilton, John (293255)"</f>
        <v>Hamilton, John (293255)</v>
      </c>
      <c r="C36" s="1" t="s">
        <v>13</v>
      </c>
      <c r="D36" t="str">
        <f>"599.8 - 0"</f>
        <v>599.8 - 0</v>
      </c>
      <c r="E36" t="str">
        <f>"598.7 - 0"</f>
        <v>598.7 - 0</v>
      </c>
      <c r="F36" t="str">
        <f>"603.3 - 0"</f>
        <v>603.3 - 0</v>
      </c>
      <c r="G36" t="str">
        <f>"1,801.8 - 0"</f>
        <v>1,801.8 - 0</v>
      </c>
    </row>
    <row r="37" spans="1:8" x14ac:dyDescent="0.35">
      <c r="A37" s="2">
        <v>20</v>
      </c>
      <c r="B37" t="str">
        <f>"Kohrman, William (326322)"</f>
        <v>Kohrman, William (326322)</v>
      </c>
      <c r="C37" s="1" t="s">
        <v>13</v>
      </c>
      <c r="D37" t="str">
        <f>"587.3 - 0"</f>
        <v>587.3 - 0</v>
      </c>
      <c r="E37" t="str">
        <f>"598.6 - 0"</f>
        <v>598.6 - 0</v>
      </c>
      <c r="F37" t="str">
        <f>"597.9 - 0"</f>
        <v>597.9 - 0</v>
      </c>
      <c r="G37" t="str">
        <f>"1,783.8 - 0"</f>
        <v>1,783.8 - 0</v>
      </c>
    </row>
    <row r="38" spans="1:8" x14ac:dyDescent="0.35">
      <c r="A38" s="2">
        <v>21</v>
      </c>
      <c r="B38" t="str">
        <f>"Drozs, Morgan (254285)"</f>
        <v>Drozs, Morgan (254285)</v>
      </c>
      <c r="C38" s="1" t="s">
        <v>9</v>
      </c>
      <c r="D38" t="str">
        <f>"582.0 - 0"</f>
        <v>582.0 - 0</v>
      </c>
      <c r="E38" t="str">
        <f>"595.4 - 0"</f>
        <v>595.4 - 0</v>
      </c>
      <c r="F38" t="str">
        <f>"586.9 - 0"</f>
        <v>586.9 - 0</v>
      </c>
      <c r="G38" t="str">
        <f>"1,764.3 - 0"</f>
        <v>1,764.3 - 0</v>
      </c>
    </row>
    <row r="39" spans="1:8" x14ac:dyDescent="0.35">
      <c r="A39" s="2">
        <v>22</v>
      </c>
      <c r="B39" t="str">
        <f>"Pham, Matthew (330273)"</f>
        <v>Pham, Matthew (330273)</v>
      </c>
      <c r="C39" s="1" t="s">
        <v>13</v>
      </c>
      <c r="D39" t="str">
        <f>"580.4 - 0"</f>
        <v>580.4 - 0</v>
      </c>
      <c r="E39" t="str">
        <f>"578.6 - 0"</f>
        <v>578.6 - 0</v>
      </c>
      <c r="F39" t="str">
        <f>"596.7 - 0"</f>
        <v>596.7 - 0</v>
      </c>
      <c r="G39" t="str">
        <f>"1,755.7 - 0"</f>
        <v>1,755.7 - 0</v>
      </c>
    </row>
    <row r="40" spans="1:8" x14ac:dyDescent="0.35">
      <c r="A40" s="2">
        <v>23</v>
      </c>
      <c r="B40" t="str">
        <f>"Bourassa, Jeffrey (357111)"</f>
        <v>Bourassa, Jeffrey (357111)</v>
      </c>
      <c r="C40" s="1" t="s">
        <v>13</v>
      </c>
      <c r="D40" t="str">
        <f>"572.8 - 0"</f>
        <v>572.8 - 0</v>
      </c>
      <c r="E40" t="str">
        <f>"582.0 - 0"</f>
        <v>582.0 - 0</v>
      </c>
      <c r="F40" t="str">
        <f>"571.5 - 0"</f>
        <v>571.5 - 0</v>
      </c>
      <c r="G40" t="str">
        <f>"1,726.3 - 0"</f>
        <v>1,726.3 - 0</v>
      </c>
    </row>
    <row r="42" spans="1:8" x14ac:dyDescent="0.35">
      <c r="A42" s="2" t="str">
        <f>"U18"</f>
        <v>U18</v>
      </c>
    </row>
    <row r="43" spans="1:8" x14ac:dyDescent="0.35">
      <c r="A43" s="2">
        <v>1</v>
      </c>
      <c r="B43" t="str">
        <f>"Walrath, Emme (369838)"</f>
        <v>Walrath, Emme (369838)</v>
      </c>
      <c r="C43" s="1" t="s">
        <v>9</v>
      </c>
      <c r="D43" t="str">
        <f>"622.6 - 0"</f>
        <v>622.6 - 0</v>
      </c>
      <c r="E43" t="str">
        <f>"620.8 - 0"</f>
        <v>620.8 - 0</v>
      </c>
      <c r="F43" t="str">
        <f>"616.8 - 0"</f>
        <v>616.8 - 0</v>
      </c>
      <c r="G43" t="str">
        <f>"1,860.2 - 0"</f>
        <v>1,860.2 - 0</v>
      </c>
      <c r="H43" s="5" t="s">
        <v>36</v>
      </c>
    </row>
    <row r="44" spans="1:8" x14ac:dyDescent="0.35">
      <c r="A44" s="2">
        <v>2</v>
      </c>
      <c r="B44" t="str">
        <f>"Hays, Julianna (277153)"</f>
        <v>Hays, Julianna (277153)</v>
      </c>
      <c r="C44" s="1" t="s">
        <v>9</v>
      </c>
      <c r="D44" t="str">
        <f>"622.5 - 0"</f>
        <v>622.5 - 0</v>
      </c>
      <c r="E44" t="str">
        <f>"621.5 - 0"</f>
        <v>621.5 - 0</v>
      </c>
      <c r="F44" t="str">
        <f>"615.0 - 0"</f>
        <v>615.0 - 0</v>
      </c>
      <c r="G44" t="str">
        <f>"1,859.0 - 0"</f>
        <v>1,859.0 - 0</v>
      </c>
      <c r="H44" s="6" t="s">
        <v>39</v>
      </c>
    </row>
    <row r="45" spans="1:8" x14ac:dyDescent="0.35">
      <c r="A45" s="2">
        <v>3</v>
      </c>
      <c r="B45" t="str">
        <f>"Demerle, Katrina (224913)"</f>
        <v>Demerle, Katrina (224913)</v>
      </c>
      <c r="C45" s="1" t="s">
        <v>9</v>
      </c>
      <c r="D45" t="str">
        <f>"617.1 - 0"</f>
        <v>617.1 - 0</v>
      </c>
      <c r="E45" t="str">
        <f>"618.4 - 0"</f>
        <v>618.4 - 0</v>
      </c>
      <c r="F45" t="str">
        <f>"620.8 - 0"</f>
        <v>620.8 - 0</v>
      </c>
      <c r="G45" t="str">
        <f>"1,856.3 - 0"</f>
        <v>1,856.3 - 0</v>
      </c>
      <c r="H45" s="7" t="s">
        <v>41</v>
      </c>
    </row>
    <row r="46" spans="1:8" x14ac:dyDescent="0.35">
      <c r="A46" s="2">
        <v>4</v>
      </c>
      <c r="B46" t="str">
        <f>"Butler, Bremen (301932)"</f>
        <v>Butler, Bremen (301932)</v>
      </c>
      <c r="C46" s="1" t="s">
        <v>9</v>
      </c>
      <c r="D46" t="str">
        <f>"621.7 - 0"</f>
        <v>621.7 - 0</v>
      </c>
      <c r="E46" t="str">
        <f>"618.7 - 0"</f>
        <v>618.7 - 0</v>
      </c>
      <c r="F46" t="str">
        <f>"614.5 - 0"</f>
        <v>614.5 - 0</v>
      </c>
      <c r="G46" t="str">
        <f>"1,854.9 - 0"</f>
        <v>1,854.9 - 0</v>
      </c>
    </row>
    <row r="47" spans="1:8" x14ac:dyDescent="0.35">
      <c r="A47" s="2">
        <v>5</v>
      </c>
      <c r="B47" t="str">
        <f>"Passmore, Rylie (282261)"</f>
        <v>Passmore, Rylie (282261)</v>
      </c>
      <c r="C47" s="1" t="s">
        <v>9</v>
      </c>
      <c r="D47" t="str">
        <f>"616.7 - 0"</f>
        <v>616.7 - 0</v>
      </c>
      <c r="E47" t="str">
        <f>"620.5 - 0"</f>
        <v>620.5 - 0</v>
      </c>
      <c r="F47" t="str">
        <f>"616.8 - 0"</f>
        <v>616.8 - 0</v>
      </c>
      <c r="G47" t="str">
        <f>"1,854.0 - 0"</f>
        <v>1,854.0 - 0</v>
      </c>
    </row>
    <row r="48" spans="1:8" x14ac:dyDescent="0.35">
      <c r="A48" s="2">
        <v>6</v>
      </c>
      <c r="B48" t="str">
        <f>"Evans, Brandon (356924)"</f>
        <v>Evans, Brandon (356924)</v>
      </c>
      <c r="C48" s="1" t="s">
        <v>13</v>
      </c>
      <c r="D48" t="str">
        <f>"617.7 - 0"</f>
        <v>617.7 - 0</v>
      </c>
      <c r="E48" t="str">
        <f>"615.8 - 0"</f>
        <v>615.8 - 0</v>
      </c>
      <c r="F48" t="str">
        <f>"615.5 - 0"</f>
        <v>615.5 - 0</v>
      </c>
      <c r="G48" t="str">
        <f>"1,849.0 - 0"</f>
        <v>1,849.0 - 0</v>
      </c>
      <c r="H48" s="5" t="s">
        <v>36</v>
      </c>
    </row>
    <row r="49" spans="1:8" x14ac:dyDescent="0.35">
      <c r="A49" s="2">
        <v>7</v>
      </c>
      <c r="B49" t="str">
        <f>"Perkins, Alivia (355166)"</f>
        <v>Perkins, Alivia (355166)</v>
      </c>
      <c r="C49" s="1" t="s">
        <v>9</v>
      </c>
      <c r="D49" t="str">
        <f>"613.3 - 0"</f>
        <v>613.3 - 0</v>
      </c>
      <c r="E49" t="str">
        <f>"614.6 - 0"</f>
        <v>614.6 - 0</v>
      </c>
      <c r="F49" t="str">
        <f>"616.8 - 0"</f>
        <v>616.8 - 0</v>
      </c>
      <c r="G49" t="str">
        <f>"1,844.7 - 0"</f>
        <v>1,844.7 - 0</v>
      </c>
    </row>
    <row r="50" spans="1:8" x14ac:dyDescent="0.35">
      <c r="A50" s="2">
        <v>8</v>
      </c>
      <c r="B50" t="str">
        <f>"Warren, Lillian (257820)"</f>
        <v>Warren, Lillian (257820)</v>
      </c>
      <c r="C50" s="1" t="s">
        <v>9</v>
      </c>
      <c r="D50" t="str">
        <f>"616.9 - 0"</f>
        <v>616.9 - 0</v>
      </c>
      <c r="E50" t="str">
        <f>"618.9 - 0"</f>
        <v>618.9 - 0</v>
      </c>
      <c r="F50" t="str">
        <f>"608.9 - 0"</f>
        <v>608.9 - 0</v>
      </c>
      <c r="G50" t="str">
        <f>"1,844.7 - 0"</f>
        <v>1,844.7 - 0</v>
      </c>
    </row>
    <row r="51" spans="1:8" x14ac:dyDescent="0.35">
      <c r="A51" s="2">
        <v>9</v>
      </c>
      <c r="B51" t="str">
        <f>"Hines, Teresa (359341)"</f>
        <v>Hines, Teresa (359341)</v>
      </c>
      <c r="C51" s="1" t="s">
        <v>9</v>
      </c>
      <c r="D51" t="str">
        <f>"620.3 - 0"</f>
        <v>620.3 - 0</v>
      </c>
      <c r="E51" t="str">
        <f>"611.8 - 0"</f>
        <v>611.8 - 0</v>
      </c>
      <c r="F51" t="str">
        <f>"611.8 - 0"</f>
        <v>611.8 - 0</v>
      </c>
      <c r="G51" t="str">
        <f>"1,843.9 - 0"</f>
        <v>1,843.9 - 0</v>
      </c>
    </row>
    <row r="52" spans="1:8" x14ac:dyDescent="0.35">
      <c r="A52" s="2">
        <v>10</v>
      </c>
      <c r="B52" t="str">
        <f>"Hoffman, Nicolette (249132)"</f>
        <v>Hoffman, Nicolette (249132)</v>
      </c>
      <c r="C52" s="1" t="s">
        <v>9</v>
      </c>
      <c r="D52" t="str">
        <f>"610.5 - 0"</f>
        <v>610.5 - 0</v>
      </c>
      <c r="E52" t="str">
        <f>"616.0 - 0"</f>
        <v>616.0 - 0</v>
      </c>
      <c r="F52" t="str">
        <f>"615.1 - 0"</f>
        <v>615.1 - 0</v>
      </c>
      <c r="G52" t="str">
        <f>"1,841.6 - 0"</f>
        <v>1,841.6 - 0</v>
      </c>
    </row>
    <row r="53" spans="1:8" x14ac:dyDescent="0.35">
      <c r="A53" s="2">
        <v>11</v>
      </c>
      <c r="B53" t="str">
        <f>"Lake, Griffin (277543)"</f>
        <v>Lake, Griffin (277543)</v>
      </c>
      <c r="C53" s="1" t="s">
        <v>13</v>
      </c>
      <c r="D53" t="str">
        <f>"613.4 - 0"</f>
        <v>613.4 - 0</v>
      </c>
      <c r="E53" t="str">
        <f>"612.8 - 0"</f>
        <v>612.8 - 0</v>
      </c>
      <c r="F53" t="str">
        <f>"614.2 - 0"</f>
        <v>614.2 - 0</v>
      </c>
      <c r="G53" t="str">
        <f>"1,840.4 - 0"</f>
        <v>1,840.4 - 0</v>
      </c>
      <c r="H53" s="6" t="s">
        <v>39</v>
      </c>
    </row>
    <row r="54" spans="1:8" x14ac:dyDescent="0.35">
      <c r="A54" s="2">
        <v>12</v>
      </c>
      <c r="B54" t="str">
        <f>"Stout, Matthew  (335809)"</f>
        <v>Stout, Matthew  (335809)</v>
      </c>
      <c r="C54" s="1" t="s">
        <v>13</v>
      </c>
      <c r="D54" t="str">
        <f>"618.5 - 0"</f>
        <v>618.5 - 0</v>
      </c>
      <c r="E54" t="str">
        <f>"605.2 - 0"</f>
        <v>605.2 - 0</v>
      </c>
      <c r="F54" t="str">
        <f>"615.9 - 0"</f>
        <v>615.9 - 0</v>
      </c>
      <c r="G54" t="str">
        <f>"1,839.6 - 0"</f>
        <v>1,839.6 - 0</v>
      </c>
      <c r="H54" s="7" t="s">
        <v>41</v>
      </c>
    </row>
    <row r="55" spans="1:8" x14ac:dyDescent="0.35">
      <c r="A55" s="2">
        <v>13</v>
      </c>
      <c r="B55" t="str">
        <f>"Gregory, Dylan (357120)"</f>
        <v>Gregory, Dylan (357120)</v>
      </c>
      <c r="C55" s="1" t="s">
        <v>13</v>
      </c>
      <c r="D55" t="str">
        <f>"609.8 - 0"</f>
        <v>609.8 - 0</v>
      </c>
      <c r="E55" t="str">
        <f>"615.1 - 0"</f>
        <v>615.1 - 0</v>
      </c>
      <c r="F55" t="str">
        <f>"611.4 - 0"</f>
        <v>611.4 - 0</v>
      </c>
      <c r="G55" t="str">
        <f>"1,836.3 - 0"</f>
        <v>1,836.3 - 0</v>
      </c>
    </row>
    <row r="56" spans="1:8" x14ac:dyDescent="0.35">
      <c r="A56" s="2">
        <v>14</v>
      </c>
      <c r="B56" t="str">
        <f>"Muzik, Claudia (227604)"</f>
        <v>Muzik, Claudia (227604)</v>
      </c>
      <c r="C56" s="1" t="s">
        <v>9</v>
      </c>
      <c r="D56" t="str">
        <f>"609.1 - 0"</f>
        <v>609.1 - 0</v>
      </c>
      <c r="E56" t="str">
        <f>"613.0 - 0"</f>
        <v>613.0 - 0</v>
      </c>
      <c r="F56" t="str">
        <f>"612.0 - 0"</f>
        <v>612.0 - 0</v>
      </c>
      <c r="G56" t="str">
        <f>"1,834.1 - 0"</f>
        <v>1,834.1 - 0</v>
      </c>
    </row>
    <row r="57" spans="1:8" x14ac:dyDescent="0.35">
      <c r="A57" s="2">
        <v>15</v>
      </c>
      <c r="B57" t="str">
        <f>"Spencer, Elijah (335242)"</f>
        <v>Spencer, Elijah (335242)</v>
      </c>
      <c r="C57" s="1" t="s">
        <v>9</v>
      </c>
      <c r="D57" t="str">
        <f>"606.5 - 0"</f>
        <v>606.5 - 0</v>
      </c>
      <c r="E57" t="str">
        <f>"613.2 - 0"</f>
        <v>613.2 - 0</v>
      </c>
      <c r="F57" t="str">
        <f>"613.5 - 0"</f>
        <v>613.5 - 0</v>
      </c>
      <c r="G57" t="str">
        <f>"1,833.2 - 0"</f>
        <v>1,833.2 - 0</v>
      </c>
    </row>
    <row r="58" spans="1:8" x14ac:dyDescent="0.35">
      <c r="A58" s="2">
        <v>16</v>
      </c>
      <c r="B58" t="str">
        <f>"Hotko, Anthony (332337)"</f>
        <v>Hotko, Anthony (332337)</v>
      </c>
      <c r="C58" s="1" t="s">
        <v>13</v>
      </c>
      <c r="D58" t="str">
        <f>"606.8 - 0"</f>
        <v>606.8 - 0</v>
      </c>
      <c r="E58" t="str">
        <f>"610.7 - 0"</f>
        <v>610.7 - 0</v>
      </c>
      <c r="F58" t="str">
        <f>"613.0 - 0"</f>
        <v>613.0 - 0</v>
      </c>
      <c r="G58" t="str">
        <f>"1,830.5 - 0"</f>
        <v>1,830.5 - 0</v>
      </c>
    </row>
    <row r="59" spans="1:8" x14ac:dyDescent="0.35">
      <c r="A59" s="2">
        <v>17</v>
      </c>
      <c r="B59" t="str">
        <f>"Yancey, Alysa (353340)"</f>
        <v>Yancey, Alysa (353340)</v>
      </c>
      <c r="C59" s="1" t="s">
        <v>9</v>
      </c>
      <c r="D59" t="str">
        <f>"613.0 - 0"</f>
        <v>613.0 - 0</v>
      </c>
      <c r="E59" t="str">
        <f>"611.7 - 0"</f>
        <v>611.7 - 0</v>
      </c>
      <c r="F59" t="str">
        <f>"604.9 - 0"</f>
        <v>604.9 - 0</v>
      </c>
      <c r="G59" t="str">
        <f>"1,829.6 - 0"</f>
        <v>1,829.6 - 0</v>
      </c>
    </row>
    <row r="60" spans="1:8" x14ac:dyDescent="0.35">
      <c r="A60" s="2">
        <v>18</v>
      </c>
      <c r="B60" t="str">
        <f>"Paddock, Rachael (282179)"</f>
        <v>Paddock, Rachael (282179)</v>
      </c>
      <c r="C60" s="1" t="s">
        <v>9</v>
      </c>
      <c r="D60" t="str">
        <f>"603.1 - 0"</f>
        <v>603.1 - 0</v>
      </c>
      <c r="E60" t="str">
        <f>"614.2 - 0"</f>
        <v>614.2 - 0</v>
      </c>
      <c r="F60" t="str">
        <f>"611.0 - 0"</f>
        <v>611.0 - 0</v>
      </c>
      <c r="G60" t="str">
        <f>"1,828.3 - 0"</f>
        <v>1,828.3 - 0</v>
      </c>
    </row>
    <row r="61" spans="1:8" x14ac:dyDescent="0.35">
      <c r="A61" s="2">
        <v>19</v>
      </c>
      <c r="B61" t="str">
        <f>"Butt, Emma (267360)"</f>
        <v>Butt, Emma (267360)</v>
      </c>
      <c r="C61" s="1" t="s">
        <v>9</v>
      </c>
      <c r="D61" t="str">
        <f>"608.2 - 0"</f>
        <v>608.2 - 0</v>
      </c>
      <c r="E61" t="str">
        <f>"608.0 - 0"</f>
        <v>608.0 - 0</v>
      </c>
      <c r="F61" t="str">
        <f>"609.3 - 0"</f>
        <v>609.3 - 0</v>
      </c>
      <c r="G61" t="str">
        <f>"1,825.5 - 0"</f>
        <v>1,825.5 - 0</v>
      </c>
    </row>
    <row r="62" spans="1:8" x14ac:dyDescent="0.35">
      <c r="A62" s="2">
        <v>20</v>
      </c>
      <c r="B62" t="str">
        <f>"Ewine, Jordyn (256297)"</f>
        <v>Ewine, Jordyn (256297)</v>
      </c>
      <c r="C62" s="1" t="s">
        <v>9</v>
      </c>
      <c r="D62" t="str">
        <f>"610.8 - 0"</f>
        <v>610.8 - 0</v>
      </c>
      <c r="E62" t="str">
        <f>"600.7 - 0"</f>
        <v>600.7 - 0</v>
      </c>
      <c r="F62" t="str">
        <f>"611.9 - 0"</f>
        <v>611.9 - 0</v>
      </c>
      <c r="G62" t="str">
        <f>"1,823.4 - 0"</f>
        <v>1,823.4 - 0</v>
      </c>
    </row>
    <row r="63" spans="1:8" x14ac:dyDescent="0.35">
      <c r="A63" s="2">
        <v>21</v>
      </c>
      <c r="B63" t="str">
        <f>"Joarder, Alok (299279)"</f>
        <v>Joarder, Alok (299279)</v>
      </c>
      <c r="C63" s="1" t="s">
        <v>13</v>
      </c>
      <c r="D63" t="str">
        <f>"607.4 - 0"</f>
        <v>607.4 - 0</v>
      </c>
      <c r="E63" t="str">
        <f>"607.7 - 0"</f>
        <v>607.7 - 0</v>
      </c>
      <c r="F63" t="str">
        <f>"607.9 - 0"</f>
        <v>607.9 - 0</v>
      </c>
      <c r="G63" t="str">
        <f>"1,823.0 - 0"</f>
        <v>1,823.0 - 0</v>
      </c>
    </row>
    <row r="64" spans="1:8" x14ac:dyDescent="0.35">
      <c r="A64" s="2">
        <v>22</v>
      </c>
      <c r="B64" t="str">
        <f>"Wisman, Jacob (280941)"</f>
        <v>Wisman, Jacob (280941)</v>
      </c>
      <c r="C64" s="1" t="s">
        <v>13</v>
      </c>
      <c r="D64" t="str">
        <f>"602.0 - 0"</f>
        <v>602.0 - 0</v>
      </c>
      <c r="E64" t="str">
        <f>"613.8 - 0"</f>
        <v>613.8 - 0</v>
      </c>
      <c r="F64" t="str">
        <f>"605.7 - 0"</f>
        <v>605.7 - 0</v>
      </c>
      <c r="G64" t="str">
        <f>"1,821.5 - 0"</f>
        <v>1,821.5 - 0</v>
      </c>
    </row>
    <row r="65" spans="1:7" x14ac:dyDescent="0.35">
      <c r="A65" s="2">
        <v>23</v>
      </c>
      <c r="B65" t="str">
        <f>"Wytko, Lily (322167)"</f>
        <v>Wytko, Lily (322167)</v>
      </c>
      <c r="C65" s="1" t="s">
        <v>9</v>
      </c>
      <c r="D65" t="str">
        <f>"609.5 - 0"</f>
        <v>609.5 - 0</v>
      </c>
      <c r="E65" t="str">
        <f>"605.3 - 0"</f>
        <v>605.3 - 0</v>
      </c>
      <c r="F65" t="str">
        <f>"604.9 - 0"</f>
        <v>604.9 - 0</v>
      </c>
      <c r="G65" t="str">
        <f>"1,819.7 - 0"</f>
        <v>1,819.7 - 0</v>
      </c>
    </row>
    <row r="66" spans="1:7" x14ac:dyDescent="0.35">
      <c r="A66" s="2">
        <v>24</v>
      </c>
      <c r="B66" t="str">
        <f>"Singleton, Hailey (346661)"</f>
        <v>Singleton, Hailey (346661)</v>
      </c>
      <c r="C66" s="1" t="s">
        <v>9</v>
      </c>
      <c r="D66" t="str">
        <f>"608.1 - 0"</f>
        <v>608.1 - 0</v>
      </c>
      <c r="E66" t="str">
        <f>"608.9 - 0"</f>
        <v>608.9 - 0</v>
      </c>
      <c r="F66" t="str">
        <f>"601.9 - 0"</f>
        <v>601.9 - 0</v>
      </c>
      <c r="G66" t="str">
        <f>"1,818.9 - 0"</f>
        <v>1,818.9 - 0</v>
      </c>
    </row>
    <row r="67" spans="1:7" x14ac:dyDescent="0.35">
      <c r="A67" s="2">
        <v>25</v>
      </c>
      <c r="B67" t="str">
        <f>"Hays, Jasmine  (306261)"</f>
        <v>Hays, Jasmine  (306261)</v>
      </c>
      <c r="C67" s="1" t="s">
        <v>9</v>
      </c>
      <c r="D67" t="str">
        <f>"599.2 - 0"</f>
        <v>599.2 - 0</v>
      </c>
      <c r="E67" t="str">
        <f>"612.8 - 0"</f>
        <v>612.8 - 0</v>
      </c>
      <c r="F67" t="str">
        <f>"603.1 - 0"</f>
        <v>603.1 - 0</v>
      </c>
      <c r="G67" t="str">
        <f>"1,815.1 - 0"</f>
        <v>1,815.1 - 0</v>
      </c>
    </row>
    <row r="68" spans="1:7" x14ac:dyDescent="0.35">
      <c r="A68" s="2">
        <v>26</v>
      </c>
      <c r="B68" t="str">
        <f>"Rodriguez-Ferreira, Lainie (363626)"</f>
        <v>Rodriguez-Ferreira, Lainie (363626)</v>
      </c>
      <c r="C68" s="1" t="s">
        <v>9</v>
      </c>
      <c r="D68" t="str">
        <f>"604.5 - 0"</f>
        <v>604.5 - 0</v>
      </c>
      <c r="E68" t="str">
        <f>"602.8 - 0"</f>
        <v>602.8 - 0</v>
      </c>
      <c r="F68" t="str">
        <f>"607.1 - 0"</f>
        <v>607.1 - 0</v>
      </c>
      <c r="G68" t="str">
        <f>"1,814.4 - 0"</f>
        <v>1,814.4 - 0</v>
      </c>
    </row>
    <row r="69" spans="1:7" x14ac:dyDescent="0.35">
      <c r="A69" s="2">
        <v>27</v>
      </c>
      <c r="B69" t="str">
        <f>"Lee, Mia (277963)"</f>
        <v>Lee, Mia (277963)</v>
      </c>
      <c r="C69" s="1" t="s">
        <v>9</v>
      </c>
      <c r="D69" t="str">
        <f>"608.5 - 0"</f>
        <v>608.5 - 0</v>
      </c>
      <c r="E69" t="str">
        <f>"594.6 - 0"</f>
        <v>594.6 - 0</v>
      </c>
      <c r="F69" t="str">
        <f>"609.6 - 0"</f>
        <v>609.6 - 0</v>
      </c>
      <c r="G69" t="str">
        <f>"1,812.7 - 0"</f>
        <v>1,812.7 - 0</v>
      </c>
    </row>
    <row r="70" spans="1:7" x14ac:dyDescent="0.35">
      <c r="A70" s="2">
        <v>28</v>
      </c>
      <c r="B70" t="str">
        <f>"Reeke, Cassidy (351767)"</f>
        <v>Reeke, Cassidy (351767)</v>
      </c>
      <c r="C70" s="1" t="s">
        <v>9</v>
      </c>
      <c r="D70" t="str">
        <f>"612.4 - 0"</f>
        <v>612.4 - 0</v>
      </c>
      <c r="E70" t="str">
        <f>"597.9 - 0"</f>
        <v>597.9 - 0</v>
      </c>
      <c r="F70" t="str">
        <f>"601.9 - 0"</f>
        <v>601.9 - 0</v>
      </c>
      <c r="G70" t="str">
        <f>"1,812.2 - 0"</f>
        <v>1,812.2 - 0</v>
      </c>
    </row>
    <row r="71" spans="1:7" x14ac:dyDescent="0.35">
      <c r="A71" s="2">
        <v>29</v>
      </c>
      <c r="B71" t="str">
        <f>"Kovach, Joseph (341888)"</f>
        <v>Kovach, Joseph (341888)</v>
      </c>
      <c r="C71" s="1" t="s">
        <v>13</v>
      </c>
      <c r="D71" t="str">
        <f>"609.7 - 0"</f>
        <v>609.7 - 0</v>
      </c>
      <c r="E71" t="str">
        <f>"604.0 - 0"</f>
        <v>604.0 - 0</v>
      </c>
      <c r="F71" t="str">
        <f>"597.3 - 0"</f>
        <v>597.3 - 0</v>
      </c>
      <c r="G71" t="str">
        <f>"1,811.0 - 0"</f>
        <v>1,811.0 - 0</v>
      </c>
    </row>
    <row r="72" spans="1:7" x14ac:dyDescent="0.35">
      <c r="A72" s="2">
        <v>30</v>
      </c>
      <c r="B72" t="str">
        <f>"Pall, Alex (332334)"</f>
        <v>Pall, Alex (332334)</v>
      </c>
      <c r="C72" s="1" t="s">
        <v>13</v>
      </c>
      <c r="D72" t="str">
        <f>"600.9 - 0"</f>
        <v>600.9 - 0</v>
      </c>
      <c r="E72" t="str">
        <f>"603.0 - 0"</f>
        <v>603.0 - 0</v>
      </c>
      <c r="F72" t="str">
        <f>"604.1 - 0"</f>
        <v>604.1 - 0</v>
      </c>
      <c r="G72" t="str">
        <f>"1,808.0 - 0"</f>
        <v>1,808.0 - 0</v>
      </c>
    </row>
    <row r="73" spans="1:7" x14ac:dyDescent="0.35">
      <c r="A73" s="2">
        <v>31</v>
      </c>
      <c r="B73" t="str">
        <f>"Hildebrandt, Paige (275938)"</f>
        <v>Hildebrandt, Paige (275938)</v>
      </c>
      <c r="C73" s="1" t="s">
        <v>9</v>
      </c>
      <c r="D73" t="str">
        <f>"609.0 - 0"</f>
        <v>609.0 - 0</v>
      </c>
      <c r="E73" t="str">
        <f>"607.9 - 0"</f>
        <v>607.9 - 0</v>
      </c>
      <c r="F73" t="str">
        <f>"591.1 - 0"</f>
        <v>591.1 - 0</v>
      </c>
      <c r="G73" t="str">
        <f>"1,808.0 - 0"</f>
        <v>1,808.0 - 0</v>
      </c>
    </row>
    <row r="74" spans="1:7" x14ac:dyDescent="0.35">
      <c r="A74" s="2">
        <v>32</v>
      </c>
      <c r="B74" t="str">
        <f>"Lawrence, Emma (355936)"</f>
        <v>Lawrence, Emma (355936)</v>
      </c>
      <c r="C74" s="1" t="s">
        <v>9</v>
      </c>
      <c r="D74" t="str">
        <f>"600.4 - 0"</f>
        <v>600.4 - 0</v>
      </c>
      <c r="E74" t="str">
        <f>"602.2 - 0"</f>
        <v>602.2 - 0</v>
      </c>
      <c r="F74" t="str">
        <f>"604.4 - 0"</f>
        <v>604.4 - 0</v>
      </c>
      <c r="G74" t="str">
        <f>"1,807.0 - 0"</f>
        <v>1,807.0 - 0</v>
      </c>
    </row>
    <row r="75" spans="1:7" x14ac:dyDescent="0.35">
      <c r="A75" s="2">
        <v>33</v>
      </c>
      <c r="B75" t="str">
        <f>"Perkowski, Teagan (218311)"</f>
        <v>Perkowski, Teagan (218311)</v>
      </c>
      <c r="C75" s="1" t="s">
        <v>9</v>
      </c>
      <c r="D75" t="str">
        <f>"599.3 - 0"</f>
        <v>599.3 - 0</v>
      </c>
      <c r="E75" t="str">
        <f>"601.5 - 0"</f>
        <v>601.5 - 0</v>
      </c>
      <c r="F75" t="str">
        <f>"605.7 - 0"</f>
        <v>605.7 - 0</v>
      </c>
      <c r="G75" t="str">
        <f>"1,806.5 - 0"</f>
        <v>1,806.5 - 0</v>
      </c>
    </row>
    <row r="76" spans="1:7" x14ac:dyDescent="0.35">
      <c r="A76" s="2">
        <v>34</v>
      </c>
      <c r="B76" t="str">
        <f>"Koenig, Victoria (335759)"</f>
        <v>Koenig, Victoria (335759)</v>
      </c>
      <c r="C76" s="1" t="s">
        <v>9</v>
      </c>
      <c r="D76" t="str">
        <f>"609.6 - 0"</f>
        <v>609.6 - 0</v>
      </c>
      <c r="E76" t="str">
        <f>"594.4 - 0"</f>
        <v>594.4 - 0</v>
      </c>
      <c r="F76" t="str">
        <f>"601.9 - 0"</f>
        <v>601.9 - 0</v>
      </c>
      <c r="G76" t="str">
        <f>"1,805.9 - 0"</f>
        <v>1,805.9 - 0</v>
      </c>
    </row>
    <row r="77" spans="1:7" x14ac:dyDescent="0.35">
      <c r="A77" s="2">
        <v>35</v>
      </c>
      <c r="B77" t="str">
        <f>"Myers, Trey (382637)"</f>
        <v>Myers, Trey (382637)</v>
      </c>
      <c r="C77" s="1" t="s">
        <v>13</v>
      </c>
      <c r="D77" t="str">
        <f>"605.9 - 0"</f>
        <v>605.9 - 0</v>
      </c>
      <c r="E77" t="str">
        <f>"600.1 - 0"</f>
        <v>600.1 - 0</v>
      </c>
      <c r="F77" t="str">
        <f>"596.6 - 0"</f>
        <v>596.6 - 0</v>
      </c>
      <c r="G77" t="str">
        <f>"1,802.6 - 0"</f>
        <v>1,802.6 - 0</v>
      </c>
    </row>
    <row r="78" spans="1:7" x14ac:dyDescent="0.35">
      <c r="A78" s="2">
        <v>36</v>
      </c>
      <c r="B78" t="str">
        <f>"Barth, Tanner (305383)"</f>
        <v>Barth, Tanner (305383)</v>
      </c>
      <c r="C78" s="1" t="s">
        <v>13</v>
      </c>
      <c r="D78" t="str">
        <f>"599.8 - 0"</f>
        <v>599.8 - 0</v>
      </c>
      <c r="E78" t="str">
        <f>"601.0 - 0"</f>
        <v>601.0 - 0</v>
      </c>
      <c r="F78" t="str">
        <f>"601.4 - 0"</f>
        <v>601.4 - 0</v>
      </c>
      <c r="G78" t="str">
        <f>"1,802.2 - 0"</f>
        <v>1,802.2 - 0</v>
      </c>
    </row>
    <row r="79" spans="1:7" x14ac:dyDescent="0.35">
      <c r="A79" s="2">
        <v>37</v>
      </c>
      <c r="B79" t="str">
        <f>"Meade, Kyra (332082)"</f>
        <v>Meade, Kyra (332082)</v>
      </c>
      <c r="C79" s="1" t="s">
        <v>9</v>
      </c>
      <c r="D79" t="str">
        <f>"603.5 - 0"</f>
        <v>603.5 - 0</v>
      </c>
      <c r="E79" t="str">
        <f>"597.9 - 0"</f>
        <v>597.9 - 0</v>
      </c>
      <c r="F79" t="str">
        <f>"600.0 - 0"</f>
        <v>600.0 - 0</v>
      </c>
      <c r="G79" t="str">
        <f>"1,801.4 - 0"</f>
        <v>1,801.4 - 0</v>
      </c>
    </row>
    <row r="80" spans="1:7" x14ac:dyDescent="0.35">
      <c r="A80" s="2">
        <v>38</v>
      </c>
      <c r="B80" t="str">
        <f>"Lin, Mela (316292)"</f>
        <v>Lin, Mela (316292)</v>
      </c>
      <c r="C80" s="1" t="s">
        <v>9</v>
      </c>
      <c r="D80" t="str">
        <f>"604.5 - 0"</f>
        <v>604.5 - 0</v>
      </c>
      <c r="E80" t="str">
        <f>"601.1 - 0"</f>
        <v>601.1 - 0</v>
      </c>
      <c r="F80" t="str">
        <f>"594.9 - 0"</f>
        <v>594.9 - 0</v>
      </c>
      <c r="G80" t="str">
        <f>"1,800.5 - 0"</f>
        <v>1,800.5 - 0</v>
      </c>
    </row>
    <row r="81" spans="1:7" x14ac:dyDescent="0.35">
      <c r="A81" s="2">
        <v>39</v>
      </c>
      <c r="B81" t="str">
        <f>"Kapper, Jake (331579)"</f>
        <v>Kapper, Jake (331579)</v>
      </c>
      <c r="C81" s="1" t="s">
        <v>13</v>
      </c>
      <c r="D81" t="str">
        <f>"596.0 - 0"</f>
        <v>596.0 - 0</v>
      </c>
      <c r="E81" t="str">
        <f>"598.0 - 0"</f>
        <v>598.0 - 0</v>
      </c>
      <c r="F81" t="str">
        <f>"606.3 - 0"</f>
        <v>606.3 - 0</v>
      </c>
      <c r="G81" t="str">
        <f>"1,800.3 - 0"</f>
        <v>1,800.3 - 0</v>
      </c>
    </row>
    <row r="82" spans="1:7" x14ac:dyDescent="0.35">
      <c r="A82" s="2">
        <v>40</v>
      </c>
      <c r="B82" t="str">
        <f>"Guise, Owen (308831)"</f>
        <v>Guise, Owen (308831)</v>
      </c>
      <c r="C82" s="1" t="s">
        <v>13</v>
      </c>
      <c r="D82" t="str">
        <f>"598.4 - 0"</f>
        <v>598.4 - 0</v>
      </c>
      <c r="E82" t="str">
        <f>"598.0 - 0"</f>
        <v>598.0 - 0</v>
      </c>
      <c r="F82" t="str">
        <f>"601.5 - 0"</f>
        <v>601.5 - 0</v>
      </c>
      <c r="G82" t="str">
        <f>"1,797.9 - 0"</f>
        <v>1,797.9 - 0</v>
      </c>
    </row>
    <row r="83" spans="1:7" x14ac:dyDescent="0.35">
      <c r="A83" s="2">
        <v>41</v>
      </c>
      <c r="B83" t="str">
        <f>"Dely, Catherine (327027)"</f>
        <v>Dely, Catherine (327027)</v>
      </c>
      <c r="C83" s="1" t="s">
        <v>9</v>
      </c>
      <c r="D83" t="str">
        <f>"601.5 - 0"</f>
        <v>601.5 - 0</v>
      </c>
      <c r="E83" t="str">
        <f>"595.1 - 0"</f>
        <v>595.1 - 0</v>
      </c>
      <c r="F83" t="str">
        <f>"601.3 - 0"</f>
        <v>601.3 - 0</v>
      </c>
      <c r="G83" t="str">
        <f>"1,797.9 - 0"</f>
        <v>1,797.9 - 0</v>
      </c>
    </row>
    <row r="84" spans="1:7" x14ac:dyDescent="0.35">
      <c r="A84" s="2">
        <v>42</v>
      </c>
      <c r="B84" t="str">
        <f>"Gratz, Isabelle (312913)"</f>
        <v>Gratz, Isabelle (312913)</v>
      </c>
      <c r="C84" s="1" t="s">
        <v>9</v>
      </c>
      <c r="D84" t="str">
        <f>"597.3 - 0"</f>
        <v>597.3 - 0</v>
      </c>
      <c r="E84" t="str">
        <f>"597.5 - 0"</f>
        <v>597.5 - 0</v>
      </c>
      <c r="F84" t="str">
        <f>"601.0 - 0"</f>
        <v>601.0 - 0</v>
      </c>
      <c r="G84" t="str">
        <f>"1,795.8 - 0"</f>
        <v>1,795.8 - 0</v>
      </c>
    </row>
    <row r="85" spans="1:7" x14ac:dyDescent="0.35">
      <c r="A85" s="2">
        <v>43</v>
      </c>
      <c r="B85" t="str">
        <f>"Leppert, Diana (374545)"</f>
        <v>Leppert, Diana (374545)</v>
      </c>
      <c r="C85" s="1" t="s">
        <v>9</v>
      </c>
      <c r="D85" t="str">
        <f>"597.6 - 0"</f>
        <v>597.6 - 0</v>
      </c>
      <c r="E85" t="str">
        <f>"599.0 - 0"</f>
        <v>599.0 - 0</v>
      </c>
      <c r="F85" t="str">
        <f>"598.8 - 0"</f>
        <v>598.8 - 0</v>
      </c>
      <c r="G85" t="str">
        <f>"1,795.4 - 0"</f>
        <v>1,795.4 - 0</v>
      </c>
    </row>
    <row r="86" spans="1:7" x14ac:dyDescent="0.35">
      <c r="A86" s="2">
        <v>44</v>
      </c>
      <c r="B86" t="str">
        <f>"Foley, Grace (400444)"</f>
        <v>Foley, Grace (400444)</v>
      </c>
      <c r="C86" s="1" t="s">
        <v>9</v>
      </c>
      <c r="D86" t="str">
        <f>"589.5 - 0"</f>
        <v>589.5 - 0</v>
      </c>
      <c r="E86" t="str">
        <f>"599.5 - 0"</f>
        <v>599.5 - 0</v>
      </c>
      <c r="F86" t="str">
        <f>"605.5 - 0"</f>
        <v>605.5 - 0</v>
      </c>
      <c r="G86" t="str">
        <f>"1,794.5 - 0"</f>
        <v>1,794.5 - 0</v>
      </c>
    </row>
    <row r="87" spans="1:7" x14ac:dyDescent="0.35">
      <c r="A87" s="2">
        <v>45</v>
      </c>
      <c r="B87" t="str">
        <f>"Kim, Ryan (328040)"</f>
        <v>Kim, Ryan (328040)</v>
      </c>
      <c r="C87" s="1" t="s">
        <v>13</v>
      </c>
      <c r="D87" t="str">
        <f>"603.8 - 0"</f>
        <v>603.8 - 0</v>
      </c>
      <c r="E87" t="str">
        <f>"596.2 - 0"</f>
        <v>596.2 - 0</v>
      </c>
      <c r="F87" t="str">
        <f>"594.4 - 0"</f>
        <v>594.4 - 0</v>
      </c>
      <c r="G87" t="str">
        <f>"1,794.4 - 0"</f>
        <v>1,794.4 - 0</v>
      </c>
    </row>
    <row r="88" spans="1:7" x14ac:dyDescent="0.35">
      <c r="A88" s="2">
        <v>46</v>
      </c>
      <c r="B88" t="str">
        <f>"Marne, Emily  (331228)"</f>
        <v>Marne, Emily  (331228)</v>
      </c>
      <c r="C88" s="1" t="s">
        <v>9</v>
      </c>
      <c r="D88" t="str">
        <f>"596.5 - 0"</f>
        <v>596.5 - 0</v>
      </c>
      <c r="E88" t="str">
        <f>"594.3 - 0"</f>
        <v>594.3 - 0</v>
      </c>
      <c r="F88" t="str">
        <f>"602.4 - 0"</f>
        <v>602.4 - 0</v>
      </c>
      <c r="G88" t="str">
        <f>"1,793.2 - 0"</f>
        <v>1,793.2 - 0</v>
      </c>
    </row>
    <row r="89" spans="1:7" x14ac:dyDescent="0.35">
      <c r="A89" s="2">
        <v>47</v>
      </c>
      <c r="B89" t="str">
        <f>"Jaros, Megan (350727)"</f>
        <v>Jaros, Megan (350727)</v>
      </c>
      <c r="C89" s="1" t="s">
        <v>9</v>
      </c>
      <c r="D89" t="str">
        <f>"601.4 - 0"</f>
        <v>601.4 - 0</v>
      </c>
      <c r="E89" t="str">
        <f>"592.6 - 0"</f>
        <v>592.6 - 0</v>
      </c>
      <c r="F89" t="str">
        <f>"598.2 - 0"</f>
        <v>598.2 - 0</v>
      </c>
      <c r="G89" t="str">
        <f>"1,792.2 - 0"</f>
        <v>1,792.2 - 0</v>
      </c>
    </row>
    <row r="90" spans="1:7" x14ac:dyDescent="0.35">
      <c r="A90" s="2">
        <v>48</v>
      </c>
      <c r="B90" t="str">
        <f>"Guise, Eli  (249842)"</f>
        <v>Guise, Eli  (249842)</v>
      </c>
      <c r="C90" s="1" t="s">
        <v>13</v>
      </c>
      <c r="D90" t="str">
        <f>"594.7 - 0"</f>
        <v>594.7 - 0</v>
      </c>
      <c r="E90" t="str">
        <f>"606.9 - 0"</f>
        <v>606.9 - 0</v>
      </c>
      <c r="F90" t="str">
        <f>"589.0 - 0"</f>
        <v>589.0 - 0</v>
      </c>
      <c r="G90" t="str">
        <f>"1,790.6 - 0"</f>
        <v>1,790.6 - 0</v>
      </c>
    </row>
    <row r="91" spans="1:7" x14ac:dyDescent="0.35">
      <c r="A91" s="2">
        <v>49</v>
      </c>
      <c r="B91" t="str">
        <f>"Koenig, Maria (335760)"</f>
        <v>Koenig, Maria (335760)</v>
      </c>
      <c r="C91" s="1" t="s">
        <v>9</v>
      </c>
      <c r="D91" t="str">
        <f>"596.8 - 0"</f>
        <v>596.8 - 0</v>
      </c>
      <c r="E91" t="str">
        <f>"592.7 - 0"</f>
        <v>592.7 - 0</v>
      </c>
      <c r="F91" t="str">
        <f>"598.4 - 0"</f>
        <v>598.4 - 0</v>
      </c>
      <c r="G91" t="str">
        <f>"1,787.9 - 0"</f>
        <v>1,787.9 - 0</v>
      </c>
    </row>
    <row r="92" spans="1:7" x14ac:dyDescent="0.35">
      <c r="A92" s="2">
        <v>50</v>
      </c>
      <c r="B92" t="str">
        <f>"Wolfe, Amanda (378598)"</f>
        <v>Wolfe, Amanda (378598)</v>
      </c>
      <c r="C92" s="1" t="s">
        <v>9</v>
      </c>
      <c r="D92" t="str">
        <f>"597.9 - 0"</f>
        <v>597.9 - 0</v>
      </c>
      <c r="E92" t="str">
        <f>"595.0 - 0"</f>
        <v>595.0 - 0</v>
      </c>
      <c r="F92" t="str">
        <f>"593.2 - 0"</f>
        <v>593.2 - 0</v>
      </c>
      <c r="G92" t="str">
        <f>"1,786.1 - 0"</f>
        <v>1,786.1 - 0</v>
      </c>
    </row>
    <row r="93" spans="1:7" x14ac:dyDescent="0.35">
      <c r="A93" s="2">
        <v>51</v>
      </c>
      <c r="B93" t="str">
        <f>"Blake, Ashluy (377849)"</f>
        <v>Blake, Ashluy (377849)</v>
      </c>
      <c r="C93" s="1" t="s">
        <v>9</v>
      </c>
      <c r="D93" t="str">
        <f>"601.6 - 0"</f>
        <v>601.6 - 0</v>
      </c>
      <c r="E93" t="str">
        <f>"594.2 - 0"</f>
        <v>594.2 - 0</v>
      </c>
      <c r="F93" t="str">
        <f>"589.8 - 0"</f>
        <v>589.8 - 0</v>
      </c>
      <c r="G93" t="str">
        <f>"1,785.6 - 0"</f>
        <v>1,785.6 - 0</v>
      </c>
    </row>
    <row r="94" spans="1:7" x14ac:dyDescent="0.35">
      <c r="A94" s="2">
        <v>52</v>
      </c>
      <c r="B94" t="str">
        <f>"Bell, Hayden (249267)"</f>
        <v>Bell, Hayden (249267)</v>
      </c>
      <c r="C94" s="1" t="s">
        <v>13</v>
      </c>
      <c r="D94" t="str">
        <f>"590.9 - 0"</f>
        <v>590.9 - 0</v>
      </c>
      <c r="E94" t="str">
        <f>"595.1 - 0"</f>
        <v>595.1 - 0</v>
      </c>
      <c r="F94" t="str">
        <f>"597.6 - 0"</f>
        <v>597.6 - 0</v>
      </c>
      <c r="G94" t="str">
        <f>"1,783.6 - 0"</f>
        <v>1,783.6 - 0</v>
      </c>
    </row>
    <row r="95" spans="1:7" x14ac:dyDescent="0.35">
      <c r="A95" s="2">
        <v>53</v>
      </c>
      <c r="B95" t="str">
        <f>"Sowers, Genevieve (284839)"</f>
        <v>Sowers, Genevieve (284839)</v>
      </c>
      <c r="C95" s="1" t="s">
        <v>9</v>
      </c>
      <c r="D95" t="str">
        <f>"591.3 - 0"</f>
        <v>591.3 - 0</v>
      </c>
      <c r="E95" t="str">
        <f>"595.0 - 0"</f>
        <v>595.0 - 0</v>
      </c>
      <c r="F95" t="str">
        <f>"594.6 - 0"</f>
        <v>594.6 - 0</v>
      </c>
      <c r="G95" t="str">
        <f>"1,780.9 - 0"</f>
        <v>1,780.9 - 0</v>
      </c>
    </row>
    <row r="96" spans="1:7" x14ac:dyDescent="0.35">
      <c r="A96" s="2">
        <v>54</v>
      </c>
      <c r="B96" t="str">
        <f>"Merk, Sophia (299134)"</f>
        <v>Merk, Sophia (299134)</v>
      </c>
      <c r="C96" s="1" t="s">
        <v>9</v>
      </c>
      <c r="D96" t="str">
        <f>"593.0 - 0"</f>
        <v>593.0 - 0</v>
      </c>
      <c r="E96" t="str">
        <f>"594.2 - 0"</f>
        <v>594.2 - 0</v>
      </c>
      <c r="F96" t="str">
        <f>"593.4 - 0"</f>
        <v>593.4 - 0</v>
      </c>
      <c r="G96" t="str">
        <f>"1,780.6 - 0"</f>
        <v>1,780.6 - 0</v>
      </c>
    </row>
    <row r="97" spans="1:7" x14ac:dyDescent="0.35">
      <c r="A97" s="2">
        <v>55</v>
      </c>
      <c r="B97" t="str">
        <f>"Siek, Natalia  (377610)"</f>
        <v>Siek, Natalia  (377610)</v>
      </c>
      <c r="C97" s="1" t="s">
        <v>9</v>
      </c>
      <c r="D97" t="str">
        <f>"600.6 - 0"</f>
        <v>600.6 - 0</v>
      </c>
      <c r="E97" t="str">
        <f>"594.3 - 0"</f>
        <v>594.3 - 0</v>
      </c>
      <c r="F97" t="str">
        <f>"582.6 - 0"</f>
        <v>582.6 - 0</v>
      </c>
      <c r="G97" t="str">
        <f>"1,777.5 - 0"</f>
        <v>1,777.5 - 0</v>
      </c>
    </row>
    <row r="98" spans="1:7" x14ac:dyDescent="0.35">
      <c r="A98" s="2">
        <v>56</v>
      </c>
      <c r="B98" t="str">
        <f>"Shane, Olivia (330513)"</f>
        <v>Shane, Olivia (330513)</v>
      </c>
      <c r="C98" s="1" t="s">
        <v>9</v>
      </c>
      <c r="D98" t="str">
        <f>"589.0 - 0"</f>
        <v>589.0 - 0</v>
      </c>
      <c r="E98" t="str">
        <f>"594.9 - 0"</f>
        <v>594.9 - 0</v>
      </c>
      <c r="F98" t="str">
        <f>"592.4 - 0"</f>
        <v>592.4 - 0</v>
      </c>
      <c r="G98" t="str">
        <f>"1,776.3 - 0"</f>
        <v>1,776.3 - 0</v>
      </c>
    </row>
    <row r="99" spans="1:7" x14ac:dyDescent="0.35">
      <c r="A99" s="2">
        <v>57</v>
      </c>
      <c r="B99" t="str">
        <f>"Bruce, Keira (372183)"</f>
        <v>Bruce, Keira (372183)</v>
      </c>
      <c r="C99" s="1" t="s">
        <v>9</v>
      </c>
      <c r="D99" t="str">
        <f>"590.2 - 0"</f>
        <v>590.2 - 0</v>
      </c>
      <c r="E99" t="str">
        <f>"587.5 - 0"</f>
        <v>587.5 - 0</v>
      </c>
      <c r="F99" t="str">
        <f>"595.9 - 0"</f>
        <v>595.9 - 0</v>
      </c>
      <c r="G99" t="str">
        <f>"1,773.6 - 0"</f>
        <v>1,773.6 - 0</v>
      </c>
    </row>
    <row r="100" spans="1:7" x14ac:dyDescent="0.35">
      <c r="A100" s="2">
        <v>58</v>
      </c>
      <c r="B100" t="str">
        <f>"Roguski, Tristian (233328)"</f>
        <v>Roguski, Tristian (233328)</v>
      </c>
      <c r="C100" s="1" t="s">
        <v>9</v>
      </c>
      <c r="D100" t="str">
        <f>"589.5 - 0"</f>
        <v>589.5 - 0</v>
      </c>
      <c r="E100" t="str">
        <f>"591.1 - 0"</f>
        <v>591.1 - 0</v>
      </c>
      <c r="F100" t="str">
        <f>"591.8 - 0"</f>
        <v>591.8 - 0</v>
      </c>
      <c r="G100" t="str">
        <f>"1,772.4 - 0"</f>
        <v>1,772.4 - 0</v>
      </c>
    </row>
    <row r="101" spans="1:7" x14ac:dyDescent="0.35">
      <c r="A101" s="2">
        <v>59</v>
      </c>
      <c r="B101" t="str">
        <f>"Carpenter, Allyn (338285)"</f>
        <v>Carpenter, Allyn (338285)</v>
      </c>
      <c r="C101" s="1" t="s">
        <v>9</v>
      </c>
      <c r="D101" t="str">
        <f>"589.0 - 0"</f>
        <v>589.0 - 0</v>
      </c>
      <c r="E101" t="str">
        <f>"589.1 - 0"</f>
        <v>589.1 - 0</v>
      </c>
      <c r="F101" t="str">
        <f>"593.9 - 0"</f>
        <v>593.9 - 0</v>
      </c>
      <c r="G101" t="str">
        <f>"1,772.0 - 0"</f>
        <v>1,772.0 - 0</v>
      </c>
    </row>
    <row r="102" spans="1:7" x14ac:dyDescent="0.35">
      <c r="A102" s="2">
        <v>60</v>
      </c>
      <c r="B102" t="str">
        <f>"Punukollu, Rushil (381199)"</f>
        <v>Punukollu, Rushil (381199)</v>
      </c>
      <c r="C102" s="1" t="s">
        <v>13</v>
      </c>
      <c r="D102" t="str">
        <f>"582.7 - 0"</f>
        <v>582.7 - 0</v>
      </c>
      <c r="E102" t="str">
        <f>"592.1 - 0"</f>
        <v>592.1 - 0</v>
      </c>
      <c r="F102" t="str">
        <f>"595.5 - 0"</f>
        <v>595.5 - 0</v>
      </c>
      <c r="G102" t="str">
        <f>"1,770.3 - 0"</f>
        <v>1,770.3 - 0</v>
      </c>
    </row>
    <row r="103" spans="1:7" x14ac:dyDescent="0.35">
      <c r="A103" s="2">
        <v>61</v>
      </c>
      <c r="B103" t="str">
        <f>"Penatzer, Ava (377840)"</f>
        <v>Penatzer, Ava (377840)</v>
      </c>
      <c r="C103" s="1" t="s">
        <v>9</v>
      </c>
      <c r="D103" t="str">
        <f>"577.4 - 0"</f>
        <v>577.4 - 0</v>
      </c>
      <c r="E103" t="str">
        <f>"604.4 - 0"</f>
        <v>604.4 - 0</v>
      </c>
      <c r="F103" t="str">
        <f>"586.4 - 0"</f>
        <v>586.4 - 0</v>
      </c>
      <c r="G103" t="str">
        <f>"1,768.2 - 0"</f>
        <v>1,768.2 - 0</v>
      </c>
    </row>
    <row r="104" spans="1:7" x14ac:dyDescent="0.35">
      <c r="A104" s="2">
        <v>62</v>
      </c>
      <c r="B104" t="str">
        <f>"Fleischer, Raina (372489)"</f>
        <v>Fleischer, Raina (372489)</v>
      </c>
      <c r="C104" s="1" t="s">
        <v>9</v>
      </c>
      <c r="D104" t="str">
        <f>"582.8 - 0"</f>
        <v>582.8 - 0</v>
      </c>
      <c r="E104" t="str">
        <f>"584.3 - 0"</f>
        <v>584.3 - 0</v>
      </c>
      <c r="F104" t="str">
        <f>"601.0 - 0"</f>
        <v>601.0 - 0</v>
      </c>
      <c r="G104" t="str">
        <f>"1,768.1 - 0"</f>
        <v>1,768.1 - 0</v>
      </c>
    </row>
    <row r="105" spans="1:7" x14ac:dyDescent="0.35">
      <c r="A105" s="2">
        <v>63</v>
      </c>
      <c r="B105" t="str">
        <f>"Tegeler, Liam (367351)"</f>
        <v>Tegeler, Liam (367351)</v>
      </c>
      <c r="C105" s="1" t="s">
        <v>13</v>
      </c>
      <c r="D105" t="str">
        <f>"587.7 - 0"</f>
        <v>587.7 - 0</v>
      </c>
      <c r="E105" t="str">
        <f>"590.4 - 0"</f>
        <v>590.4 - 0</v>
      </c>
      <c r="F105" t="str">
        <f>"587.4 - 0"</f>
        <v>587.4 - 0</v>
      </c>
      <c r="G105" t="str">
        <f>"1,765.5 - 0"</f>
        <v>1,765.5 - 0</v>
      </c>
    </row>
    <row r="106" spans="1:7" x14ac:dyDescent="0.35">
      <c r="A106" s="2">
        <v>64</v>
      </c>
      <c r="B106" t="str">
        <f>"Sutherlin, Alison (275933)"</f>
        <v>Sutherlin, Alison (275933)</v>
      </c>
      <c r="C106" s="1" t="s">
        <v>9</v>
      </c>
      <c r="D106" t="str">
        <f>"585.5 - 0"</f>
        <v>585.5 - 0</v>
      </c>
      <c r="E106" t="str">
        <f>"590.8 - 0"</f>
        <v>590.8 - 0</v>
      </c>
      <c r="F106" t="str">
        <f>"589.1 - 0"</f>
        <v>589.1 - 0</v>
      </c>
      <c r="G106" t="str">
        <f>"1,765.4 - 0"</f>
        <v>1,765.4 - 0</v>
      </c>
    </row>
    <row r="107" spans="1:7" x14ac:dyDescent="0.35">
      <c r="A107" s="2">
        <v>65</v>
      </c>
      <c r="B107" t="str">
        <f>"Swick, Ziva (308974)"</f>
        <v>Swick, Ziva (308974)</v>
      </c>
      <c r="C107" s="1" t="s">
        <v>9</v>
      </c>
      <c r="D107" t="str">
        <f>"588.2 - 0"</f>
        <v>588.2 - 0</v>
      </c>
      <c r="E107" t="str">
        <f>"587.7 - 0"</f>
        <v>587.7 - 0</v>
      </c>
      <c r="F107" t="str">
        <f>"588.2 - 0"</f>
        <v>588.2 - 0</v>
      </c>
      <c r="G107" t="str">
        <f>"1,764.1 - 0"</f>
        <v>1,764.1 - 0</v>
      </c>
    </row>
    <row r="108" spans="1:7" x14ac:dyDescent="0.35">
      <c r="A108" s="2">
        <v>66</v>
      </c>
      <c r="B108" t="str">
        <f>"Corbett, Grace (370517)"</f>
        <v>Corbett, Grace (370517)</v>
      </c>
      <c r="C108" s="1" t="s">
        <v>9</v>
      </c>
      <c r="D108" t="str">
        <f>"582.7 - 0"</f>
        <v>582.7 - 0</v>
      </c>
      <c r="E108" t="str">
        <f>"587.9 - 0"</f>
        <v>587.9 - 0</v>
      </c>
      <c r="F108" t="str">
        <f>"591.2 - 0"</f>
        <v>591.2 - 0</v>
      </c>
      <c r="G108" t="str">
        <f>"1,761.8 - 0"</f>
        <v>1,761.8 - 0</v>
      </c>
    </row>
    <row r="109" spans="1:7" x14ac:dyDescent="0.35">
      <c r="A109" s="2">
        <v>67</v>
      </c>
      <c r="B109" t="str">
        <f>"Ware, Nathan  (358899)"</f>
        <v>Ware, Nathan  (358899)</v>
      </c>
      <c r="C109" s="1" t="s">
        <v>13</v>
      </c>
      <c r="D109" t="str">
        <f>"592.3 - 0"</f>
        <v>592.3 - 0</v>
      </c>
      <c r="E109" t="str">
        <f>"586.8 - 0"</f>
        <v>586.8 - 0</v>
      </c>
      <c r="F109" t="str">
        <f>"579.8 - 0"</f>
        <v>579.8 - 0</v>
      </c>
      <c r="G109" t="str">
        <f>"1,758.9 - 0"</f>
        <v>1,758.9 - 0</v>
      </c>
    </row>
    <row r="110" spans="1:7" x14ac:dyDescent="0.35">
      <c r="A110" s="2">
        <v>68</v>
      </c>
      <c r="B110" t="str">
        <f>"Warsaw, Ellis (321807)"</f>
        <v>Warsaw, Ellis (321807)</v>
      </c>
      <c r="C110" s="1" t="s">
        <v>13</v>
      </c>
      <c r="D110" t="str">
        <f>"585.3 - 0"</f>
        <v>585.3 - 0</v>
      </c>
      <c r="E110" t="str">
        <f>"582.4 - 0"</f>
        <v>582.4 - 0</v>
      </c>
      <c r="F110" t="str">
        <f>"589.9 - 0"</f>
        <v>589.9 - 0</v>
      </c>
      <c r="G110" t="str">
        <f>"1,757.6 - 0"</f>
        <v>1,757.6 - 0</v>
      </c>
    </row>
    <row r="111" spans="1:7" x14ac:dyDescent="0.35">
      <c r="A111" s="2">
        <v>69</v>
      </c>
      <c r="B111" t="str">
        <f>"West, Marina (371107)"</f>
        <v>West, Marina (371107)</v>
      </c>
      <c r="C111" s="1" t="s">
        <v>9</v>
      </c>
      <c r="D111" t="str">
        <f>"584.1 - 0"</f>
        <v>584.1 - 0</v>
      </c>
      <c r="E111" t="str">
        <f>"575.9 - 0"</f>
        <v>575.9 - 0</v>
      </c>
      <c r="F111" t="str">
        <f>"593.5 - 0"</f>
        <v>593.5 - 0</v>
      </c>
      <c r="G111" t="str">
        <f>"1,753.5 - 0"</f>
        <v>1,753.5 - 0</v>
      </c>
    </row>
    <row r="112" spans="1:7" x14ac:dyDescent="0.35">
      <c r="A112" s="2">
        <v>70</v>
      </c>
      <c r="B112" t="str">
        <f>"McClelland, Rose (335676)"</f>
        <v>McClelland, Rose (335676)</v>
      </c>
      <c r="C112" s="1" t="s">
        <v>9</v>
      </c>
      <c r="D112" t="str">
        <f>"576.2 - 0"</f>
        <v>576.2 - 0</v>
      </c>
      <c r="E112" t="str">
        <f>"588.1 - 0"</f>
        <v>588.1 - 0</v>
      </c>
      <c r="F112" t="str">
        <f>"588.9 - 0"</f>
        <v>588.9 - 0</v>
      </c>
      <c r="G112" t="str">
        <f>"1,753.2 - 0"</f>
        <v>1,753.2 - 0</v>
      </c>
    </row>
    <row r="113" spans="1:7" x14ac:dyDescent="0.35">
      <c r="A113" s="2">
        <v>71</v>
      </c>
      <c r="B113" t="str">
        <f>"James, Gatlin (231363)"</f>
        <v>James, Gatlin (231363)</v>
      </c>
      <c r="C113" s="1" t="s">
        <v>13</v>
      </c>
      <c r="D113" t="str">
        <f>"587.6 - 0"</f>
        <v>587.6 - 0</v>
      </c>
      <c r="E113" t="str">
        <f>"581.4 - 0"</f>
        <v>581.4 - 0</v>
      </c>
      <c r="F113" t="str">
        <f>"583.1 - 0"</f>
        <v>583.1 - 0</v>
      </c>
      <c r="G113" t="str">
        <f>"1,752.1 - 0"</f>
        <v>1,752.1 - 0</v>
      </c>
    </row>
    <row r="114" spans="1:7" x14ac:dyDescent="0.35">
      <c r="A114" s="2">
        <v>72</v>
      </c>
      <c r="B114" t="str">
        <f>"Minden, Kaitlyn (333061)"</f>
        <v>Minden, Kaitlyn (333061)</v>
      </c>
      <c r="C114" s="1" t="s">
        <v>9</v>
      </c>
      <c r="D114" t="str">
        <f>"582.6 - 0"</f>
        <v>582.6 - 0</v>
      </c>
      <c r="E114" t="str">
        <f>"576.7 - 0"</f>
        <v>576.7 - 0</v>
      </c>
      <c r="F114" t="str">
        <f>"586.1 - 0"</f>
        <v>586.1 - 0</v>
      </c>
      <c r="G114" t="str">
        <f>"1,745.4 - 0"</f>
        <v>1,745.4 - 0</v>
      </c>
    </row>
    <row r="115" spans="1:7" x14ac:dyDescent="0.35">
      <c r="A115" s="2">
        <v>73</v>
      </c>
      <c r="B115" t="str">
        <f>"Seaborne, Spencer  (330042)"</f>
        <v>Seaborne, Spencer  (330042)</v>
      </c>
      <c r="C115" s="1" t="s">
        <v>13</v>
      </c>
      <c r="D115" t="str">
        <f>"578.1 - 0"</f>
        <v>578.1 - 0</v>
      </c>
      <c r="E115" t="str">
        <f>"582.5 - 0"</f>
        <v>582.5 - 0</v>
      </c>
      <c r="F115" t="str">
        <f>"582.2 - 0"</f>
        <v>582.2 - 0</v>
      </c>
      <c r="G115" t="str">
        <f>"1,742.8 - 0"</f>
        <v>1,742.8 - 0</v>
      </c>
    </row>
    <row r="116" spans="1:7" x14ac:dyDescent="0.35">
      <c r="A116" s="2">
        <v>74</v>
      </c>
      <c r="B116" t="str">
        <f>"Roseberry II, Bobby (367088)"</f>
        <v>Roseberry II, Bobby (367088)</v>
      </c>
      <c r="C116" s="1" t="s">
        <v>13</v>
      </c>
      <c r="D116" t="str">
        <f>"572.6 - 0"</f>
        <v>572.6 - 0</v>
      </c>
      <c r="E116" t="str">
        <f>"581.0 - 0"</f>
        <v>581.0 - 0</v>
      </c>
      <c r="F116" t="str">
        <f>"581.7 - 0"</f>
        <v>581.7 - 0</v>
      </c>
      <c r="G116" t="str">
        <f>"1,735.3 - 0"</f>
        <v>1,735.3 - 0</v>
      </c>
    </row>
    <row r="117" spans="1:7" x14ac:dyDescent="0.35">
      <c r="A117" s="2">
        <v>75</v>
      </c>
      <c r="B117" t="str">
        <f>"Counter, Claire (400566)"</f>
        <v>Counter, Claire (400566)</v>
      </c>
      <c r="C117" s="1" t="s">
        <v>9</v>
      </c>
      <c r="D117" t="str">
        <f>"582.6 - 0"</f>
        <v>582.6 - 0</v>
      </c>
      <c r="E117" t="str">
        <f>"579.6 - 0"</f>
        <v>579.6 - 0</v>
      </c>
      <c r="F117" t="str">
        <f>"572.8 - 0"</f>
        <v>572.8 - 0</v>
      </c>
      <c r="G117" t="str">
        <f>"1,735.0 - 0"</f>
        <v>1,735.0 - 0</v>
      </c>
    </row>
    <row r="118" spans="1:7" x14ac:dyDescent="0.35">
      <c r="A118" s="2">
        <v>76</v>
      </c>
      <c r="B118" t="str">
        <f>"Dunn, Riley (361077)"</f>
        <v>Dunn, Riley (361077)</v>
      </c>
      <c r="C118" s="1" t="s">
        <v>9</v>
      </c>
      <c r="D118" t="str">
        <f>"588.1 - 0"</f>
        <v>588.1 - 0</v>
      </c>
      <c r="E118" t="str">
        <f>"578.4 - 0"</f>
        <v>578.4 - 0</v>
      </c>
      <c r="F118" t="str">
        <f>"563.0 - 0"</f>
        <v>563.0 - 0</v>
      </c>
      <c r="G118" t="str">
        <f>"1,729.5 - 0"</f>
        <v>1,729.5 - 0</v>
      </c>
    </row>
    <row r="119" spans="1:7" x14ac:dyDescent="0.35">
      <c r="A119" s="2">
        <v>77</v>
      </c>
      <c r="B119" t="str">
        <f>"Tieszen, Ashley (305956)"</f>
        <v>Tieszen, Ashley (305956)</v>
      </c>
      <c r="C119" s="1" t="s">
        <v>9</v>
      </c>
      <c r="D119" t="str">
        <f>"583.8 - 0"</f>
        <v>583.8 - 0</v>
      </c>
      <c r="E119" t="str">
        <f>"582.5 - 0"</f>
        <v>582.5 - 0</v>
      </c>
      <c r="F119" t="str">
        <f>"561.5 - 0"</f>
        <v>561.5 - 0</v>
      </c>
      <c r="G119" t="str">
        <f>"1,727.8 - 0"</f>
        <v>1,727.8 - 0</v>
      </c>
    </row>
    <row r="120" spans="1:7" x14ac:dyDescent="0.35">
      <c r="A120" s="2">
        <v>78</v>
      </c>
      <c r="B120" t="str">
        <f>"Byers, Zachery (335439)"</f>
        <v>Byers, Zachery (335439)</v>
      </c>
      <c r="C120" s="1" t="s">
        <v>13</v>
      </c>
      <c r="D120" t="str">
        <f>"575.7 - 0"</f>
        <v>575.7 - 0</v>
      </c>
      <c r="E120" t="str">
        <f>"569.2 - 0"</f>
        <v>569.2 - 0</v>
      </c>
      <c r="F120" t="str">
        <f>"580.8 - 0"</f>
        <v>580.8 - 0</v>
      </c>
      <c r="G120" t="str">
        <f>"1,725.7 - 0"</f>
        <v>1,725.7 - 0</v>
      </c>
    </row>
    <row r="121" spans="1:7" x14ac:dyDescent="0.35">
      <c r="A121" s="2">
        <v>79</v>
      </c>
      <c r="B121" t="str">
        <f>"Shipley, James (320956)"</f>
        <v>Shipley, James (320956)</v>
      </c>
      <c r="C121" s="1" t="s">
        <v>13</v>
      </c>
      <c r="D121" t="str">
        <f>"576.1 - 0"</f>
        <v>576.1 - 0</v>
      </c>
      <c r="E121" t="str">
        <f>"575.6 - 0"</f>
        <v>575.6 - 0</v>
      </c>
      <c r="F121" t="str">
        <f>"573.5 - 0"</f>
        <v>573.5 - 0</v>
      </c>
      <c r="G121" t="str">
        <f>"1,725.2 - 0"</f>
        <v>1,725.2 - 0</v>
      </c>
    </row>
    <row r="122" spans="1:7" x14ac:dyDescent="0.35">
      <c r="A122" s="2">
        <v>80</v>
      </c>
      <c r="B122" t="str">
        <f>"Yang, Bohan (363166)"</f>
        <v>Yang, Bohan (363166)</v>
      </c>
      <c r="C122" s="1" t="s">
        <v>13</v>
      </c>
      <c r="D122" t="str">
        <f>"578.9 - 0"</f>
        <v>578.9 - 0</v>
      </c>
      <c r="E122" t="str">
        <f>"575.4 - 0"</f>
        <v>575.4 - 0</v>
      </c>
      <c r="F122" t="str">
        <f>"564.1 - 0"</f>
        <v>564.1 - 0</v>
      </c>
      <c r="G122" t="str">
        <f>"1,718.4 - 0"</f>
        <v>1,718.4 - 0</v>
      </c>
    </row>
    <row r="123" spans="1:7" x14ac:dyDescent="0.35">
      <c r="A123" s="2">
        <v>81</v>
      </c>
      <c r="B123" t="str">
        <f>"Bates, Ethan (335358)"</f>
        <v>Bates, Ethan (335358)</v>
      </c>
      <c r="C123" s="1" t="s">
        <v>13</v>
      </c>
      <c r="D123" t="str">
        <f>"559.7 - 0"</f>
        <v>559.7 - 0</v>
      </c>
      <c r="E123" t="str">
        <f>"578.1 - 0"</f>
        <v>578.1 - 0</v>
      </c>
      <c r="F123" t="str">
        <f>"574.3 - 0"</f>
        <v>574.3 - 0</v>
      </c>
      <c r="G123" t="str">
        <f>"1,712.1 - 0"</f>
        <v>1,712.1 - 0</v>
      </c>
    </row>
    <row r="124" spans="1:7" x14ac:dyDescent="0.35">
      <c r="A124" s="2">
        <v>82</v>
      </c>
      <c r="B124" t="str">
        <f>"Todd, Hannah (281258)"</f>
        <v>Todd, Hannah (281258)</v>
      </c>
      <c r="C124" s="1" t="s">
        <v>9</v>
      </c>
      <c r="D124" t="str">
        <f>"581.3 - 0"</f>
        <v>581.3 - 0</v>
      </c>
      <c r="E124" t="str">
        <f>"563.4 - 0"</f>
        <v>563.4 - 0</v>
      </c>
      <c r="F124" t="str">
        <f>"566.2 - 0"</f>
        <v>566.2 - 0</v>
      </c>
      <c r="G124" t="str">
        <f>"1,710.9 - 0"</f>
        <v>1,710.9 - 0</v>
      </c>
    </row>
    <row r="125" spans="1:7" x14ac:dyDescent="0.35">
      <c r="A125" s="2">
        <v>83</v>
      </c>
      <c r="B125" t="str">
        <f>"Adkins, Mitchell (377850)"</f>
        <v>Adkins, Mitchell (377850)</v>
      </c>
      <c r="C125" s="1" t="s">
        <v>13</v>
      </c>
      <c r="D125" t="str">
        <f>"565.8 - 0"</f>
        <v>565.8 - 0</v>
      </c>
      <c r="E125" t="str">
        <f>"561.4 - 0"</f>
        <v>561.4 - 0</v>
      </c>
      <c r="F125" t="str">
        <f>"575.5 - 0"</f>
        <v>575.5 - 0</v>
      </c>
      <c r="G125" t="str">
        <f>"1,702.7 - 0"</f>
        <v>1,702.7 - 0</v>
      </c>
    </row>
    <row r="126" spans="1:7" x14ac:dyDescent="0.35">
      <c r="A126" s="2">
        <v>84</v>
      </c>
      <c r="B126" t="str">
        <f>"Heschel, Diane (232773)"</f>
        <v>Heschel, Diane (232773)</v>
      </c>
      <c r="C126" s="1" t="s">
        <v>9</v>
      </c>
      <c r="D126" t="str">
        <f>"568.6 - 0"</f>
        <v>568.6 - 0</v>
      </c>
      <c r="E126" t="str">
        <f>"554.5 - 0"</f>
        <v>554.5 - 0</v>
      </c>
      <c r="F126" t="str">
        <f>"557.8 - 0"</f>
        <v>557.8 - 0</v>
      </c>
      <c r="G126" t="str">
        <f>"1,680.9 - 0"</f>
        <v>1,680.9 - 0</v>
      </c>
    </row>
    <row r="127" spans="1:7" x14ac:dyDescent="0.35">
      <c r="A127" s="2">
        <v>85</v>
      </c>
      <c r="B127" t="str">
        <f>"Shultz, Brandon (355187)"</f>
        <v>Shultz, Brandon (355187)</v>
      </c>
      <c r="C127" s="1" t="s">
        <v>13</v>
      </c>
      <c r="D127" t="str">
        <f>"562.7 - 0"</f>
        <v>562.7 - 0</v>
      </c>
      <c r="E127" t="str">
        <f>"553.1 - 0"</f>
        <v>553.1 - 0</v>
      </c>
      <c r="F127" t="str">
        <f>"547.4 - 0"</f>
        <v>547.4 - 0</v>
      </c>
      <c r="G127" t="str">
        <f>"1,663.2 - 0"</f>
        <v>1,663.2 - 0</v>
      </c>
    </row>
    <row r="128" spans="1:7" x14ac:dyDescent="0.35">
      <c r="A128" s="2">
        <v>86</v>
      </c>
      <c r="B128" t="str">
        <f>"Jockers, Corbin (346139)"</f>
        <v>Jockers, Corbin (346139)</v>
      </c>
      <c r="C128" s="1" t="s">
        <v>13</v>
      </c>
      <c r="D128" t="str">
        <f>"541.9 - 0"</f>
        <v>541.9 - 0</v>
      </c>
      <c r="E128" t="str">
        <f>"560.0 - 0"</f>
        <v>560.0 - 0</v>
      </c>
      <c r="F128" t="str">
        <f>"560.9 - 0"</f>
        <v>560.9 - 0</v>
      </c>
      <c r="G128" t="str">
        <f>"1,662.8 - 0"</f>
        <v>1,662.8 - 0</v>
      </c>
    </row>
    <row r="129" spans="1:8" x14ac:dyDescent="0.35">
      <c r="A129" s="2">
        <v>87</v>
      </c>
      <c r="B129" t="str">
        <f>"Palmer, Cala (383406)"</f>
        <v>Palmer, Cala (383406)</v>
      </c>
      <c r="C129" s="1" t="s">
        <v>9</v>
      </c>
      <c r="D129" t="str">
        <f>"550.6 - 0"</f>
        <v>550.6 - 0</v>
      </c>
      <c r="E129" t="str">
        <f>"551.2 - 0"</f>
        <v>551.2 - 0</v>
      </c>
      <c r="F129" t="str">
        <f>"558.1 - 0"</f>
        <v>558.1 - 0</v>
      </c>
      <c r="G129" t="str">
        <f>"1,659.9 - 0"</f>
        <v>1,659.9 - 0</v>
      </c>
    </row>
    <row r="130" spans="1:8" x14ac:dyDescent="0.35">
      <c r="A130" s="2">
        <v>88</v>
      </c>
      <c r="B130" t="str">
        <f>"Hastings, Erica (362060)"</f>
        <v>Hastings, Erica (362060)</v>
      </c>
      <c r="C130" s="1" t="s">
        <v>9</v>
      </c>
      <c r="D130" t="str">
        <f>"532.3 - 0"</f>
        <v>532.3 - 0</v>
      </c>
      <c r="E130" t="str">
        <f>"553.5 - 0"</f>
        <v>553.5 - 0</v>
      </c>
      <c r="F130" t="str">
        <f>"553.6 - 0"</f>
        <v>553.6 - 0</v>
      </c>
      <c r="G130" t="str">
        <f>"1,639.4 - 0"</f>
        <v>1,639.4 - 0</v>
      </c>
    </row>
    <row r="131" spans="1:8" x14ac:dyDescent="0.35">
      <c r="A131" s="2">
        <v>89</v>
      </c>
      <c r="B131" t="str">
        <f>"Dely, John (330694)"</f>
        <v>Dely, John (330694)</v>
      </c>
      <c r="C131" s="1" t="s">
        <v>13</v>
      </c>
      <c r="D131" t="str">
        <f>"542.7 - 0"</f>
        <v>542.7 - 0</v>
      </c>
      <c r="E131" t="str">
        <f>"546.4 - 0"</f>
        <v>546.4 - 0</v>
      </c>
      <c r="F131" t="str">
        <f>"549.1 - 0"</f>
        <v>549.1 - 0</v>
      </c>
      <c r="G131" t="str">
        <f>"1,638.2 - 0"</f>
        <v>1,638.2 - 0</v>
      </c>
    </row>
    <row r="133" spans="1:8" x14ac:dyDescent="0.35">
      <c r="A133" s="2" t="str">
        <f>"U15"</f>
        <v>U15</v>
      </c>
    </row>
    <row r="134" spans="1:8" x14ac:dyDescent="0.35">
      <c r="A134" s="2">
        <v>1</v>
      </c>
      <c r="B134" t="str">
        <f>"Moriarty, Shannon (319315)"</f>
        <v>Moriarty, Shannon (319315)</v>
      </c>
      <c r="C134" s="1" t="s">
        <v>9</v>
      </c>
      <c r="D134" t="str">
        <f>"612.0 - 0"</f>
        <v>612.0 - 0</v>
      </c>
      <c r="E134" t="str">
        <f>"603.3 - 0"</f>
        <v>603.3 - 0</v>
      </c>
      <c r="F134" t="str">
        <f>"608.6 - 0"</f>
        <v>608.6 - 0</v>
      </c>
      <c r="G134" t="str">
        <f>"1,823.9 - 0"</f>
        <v>1,823.9 - 0</v>
      </c>
      <c r="H134" s="5" t="s">
        <v>36</v>
      </c>
    </row>
    <row r="135" spans="1:8" x14ac:dyDescent="0.35">
      <c r="A135" s="2">
        <v>2</v>
      </c>
      <c r="B135" t="str">
        <f>"Bergman, Deitrich (279872)"</f>
        <v>Bergman, Deitrich (279872)</v>
      </c>
      <c r="C135" s="1" t="s">
        <v>13</v>
      </c>
      <c r="D135" t="str">
        <f>"598.3 - 0"</f>
        <v>598.3 - 0</v>
      </c>
      <c r="E135" t="str">
        <f>"596.1 - 0"</f>
        <v>596.1 - 0</v>
      </c>
      <c r="F135" t="str">
        <f>"593.0 - 0"</f>
        <v>593.0 - 0</v>
      </c>
      <c r="G135" t="str">
        <f>"1,787.4 - 0"</f>
        <v>1,787.4 - 0</v>
      </c>
      <c r="H135" s="5" t="s">
        <v>36</v>
      </c>
    </row>
    <row r="136" spans="1:8" x14ac:dyDescent="0.35">
      <c r="A136" s="2">
        <v>3</v>
      </c>
      <c r="B136" t="str">
        <f>"Poole, Josh (375344)"</f>
        <v>Poole, Josh (375344)</v>
      </c>
      <c r="C136" s="1" t="s">
        <v>13</v>
      </c>
      <c r="D136" t="str">
        <f>"595.4 - 0"</f>
        <v>595.4 - 0</v>
      </c>
      <c r="E136" t="str">
        <f>"596.5 - 0"</f>
        <v>596.5 - 0</v>
      </c>
      <c r="F136" t="str">
        <f>"595.3 - 0"</f>
        <v>595.3 - 0</v>
      </c>
      <c r="G136" t="str">
        <f>"1,787.2 - 0"</f>
        <v>1,787.2 - 0</v>
      </c>
      <c r="H136" s="6" t="s">
        <v>39</v>
      </c>
    </row>
    <row r="137" spans="1:8" x14ac:dyDescent="0.35">
      <c r="A137" s="2">
        <v>4</v>
      </c>
      <c r="B137" t="str">
        <f>"Sullivan , Parker  (359931)"</f>
        <v>Sullivan , Parker  (359931)</v>
      </c>
      <c r="C137" s="1" t="s">
        <v>13</v>
      </c>
      <c r="D137" t="str">
        <f>"583.6 - 0"</f>
        <v>583.6 - 0</v>
      </c>
      <c r="E137" t="str">
        <f>"590.6 - 0"</f>
        <v>590.6 - 0</v>
      </c>
      <c r="F137" t="str">
        <f>"590.9 - 0"</f>
        <v>590.9 - 0</v>
      </c>
      <c r="G137" t="str">
        <f>"1,765.1 - 0"</f>
        <v>1,765.1 - 0</v>
      </c>
      <c r="H137" s="7" t="s">
        <v>41</v>
      </c>
    </row>
    <row r="138" spans="1:8" x14ac:dyDescent="0.35">
      <c r="A138" s="2">
        <v>5</v>
      </c>
      <c r="B138" t="str">
        <f>"Ogoreuc, Jack (345230)"</f>
        <v>Ogoreuc, Jack (345230)</v>
      </c>
      <c r="C138" s="1" t="s">
        <v>13</v>
      </c>
      <c r="D138" t="str">
        <f>"587.4 - 0"</f>
        <v>587.4 - 0</v>
      </c>
      <c r="E138" t="str">
        <f>"586.9 - 0"</f>
        <v>586.9 - 0</v>
      </c>
      <c r="F138" t="str">
        <f>"588.9 - 0"</f>
        <v>588.9 - 0</v>
      </c>
      <c r="G138" t="str">
        <f>"1,763.2 - 0"</f>
        <v>1,763.2 - 0</v>
      </c>
    </row>
    <row r="139" spans="1:8" x14ac:dyDescent="0.35">
      <c r="A139" s="2">
        <v>6</v>
      </c>
      <c r="B139" t="str">
        <f>"Eichmann, Josie (334385)"</f>
        <v>Eichmann, Josie (334385)</v>
      </c>
      <c r="C139" s="1" t="s">
        <v>9</v>
      </c>
      <c r="D139" t="str">
        <f>"581.4 - 0"</f>
        <v>581.4 - 0</v>
      </c>
      <c r="E139" t="str">
        <f>"593.2 - 0"</f>
        <v>593.2 - 0</v>
      </c>
      <c r="F139" t="str">
        <f>"574.7 - 0"</f>
        <v>574.7 - 0</v>
      </c>
      <c r="G139" t="str">
        <f>"1,749.3 - 0"</f>
        <v>1,749.3 - 0</v>
      </c>
      <c r="H139" s="6" t="s">
        <v>39</v>
      </c>
    </row>
    <row r="140" spans="1:8" x14ac:dyDescent="0.35">
      <c r="A140" s="2">
        <v>7</v>
      </c>
      <c r="B140" t="str">
        <f>"Lee, Ella (318843)"</f>
        <v>Lee, Ella (318843)</v>
      </c>
      <c r="C140" s="1" t="s">
        <v>9</v>
      </c>
      <c r="D140" t="str">
        <f>"582.2 - 0"</f>
        <v>582.2 - 0</v>
      </c>
      <c r="E140" t="str">
        <f>"581.3 - 0"</f>
        <v>581.3 - 0</v>
      </c>
      <c r="F140" t="str">
        <f>"573.7 - 0"</f>
        <v>573.7 - 0</v>
      </c>
      <c r="G140" t="str">
        <f>"1,737.2 - 0"</f>
        <v>1,737.2 - 0</v>
      </c>
      <c r="H140" s="7" t="s">
        <v>41</v>
      </c>
    </row>
    <row r="141" spans="1:8" x14ac:dyDescent="0.35">
      <c r="A141" s="2">
        <v>8</v>
      </c>
      <c r="B141" t="str">
        <f>"Haymond, Ashley (380824)"</f>
        <v>Haymond, Ashley (380824)</v>
      </c>
      <c r="C141" s="1" t="s">
        <v>9</v>
      </c>
      <c r="D141" t="str">
        <f>"549.6 - 0"</f>
        <v>549.6 - 0</v>
      </c>
      <c r="E141" t="str">
        <f>"580.6 - 0"</f>
        <v>580.6 - 0</v>
      </c>
      <c r="F141" t="str">
        <f>"578.5 - 0"</f>
        <v>578.5 - 0</v>
      </c>
      <c r="G141" t="str">
        <f>"1,708.7 - 0"</f>
        <v>1,708.7 - 0</v>
      </c>
    </row>
    <row r="142" spans="1:8" x14ac:dyDescent="0.35">
      <c r="A142" s="2">
        <v>9</v>
      </c>
      <c r="B142" t="str">
        <f>"Wall, Jackson (356331)"</f>
        <v>Wall, Jackson (356331)</v>
      </c>
      <c r="C142" s="1" t="s">
        <v>13</v>
      </c>
      <c r="D142" t="str">
        <f>"554.9 - 0"</f>
        <v>554.9 - 0</v>
      </c>
      <c r="E142" t="str">
        <f>"567.8 - 0"</f>
        <v>567.8 - 0</v>
      </c>
      <c r="F142" t="str">
        <f>"560.9 - 0"</f>
        <v>560.9 - 0</v>
      </c>
      <c r="G142" t="str">
        <f>"1,683.6 - 0"</f>
        <v>1,683.6 - 0</v>
      </c>
    </row>
    <row r="143" spans="1:8" x14ac:dyDescent="0.35">
      <c r="A143" s="2">
        <v>10</v>
      </c>
      <c r="B143" t="str">
        <f>"Tieszen, Katelyn (358937)"</f>
        <v>Tieszen, Katelyn (358937)</v>
      </c>
      <c r="C143" s="1" t="s">
        <v>9</v>
      </c>
      <c r="D143" t="str">
        <f>"573.4 - 0"</f>
        <v>573.4 - 0</v>
      </c>
      <c r="E143" t="str">
        <f>"556.2 - 0"</f>
        <v>556.2 - 0</v>
      </c>
      <c r="F143" t="str">
        <f>"553.0 - 0"</f>
        <v>553.0 - 0</v>
      </c>
      <c r="G143" t="str">
        <f>"1,682.6 - 0"</f>
        <v>1,682.6 - 0</v>
      </c>
    </row>
    <row r="144" spans="1:8" x14ac:dyDescent="0.35">
      <c r="A144" s="2">
        <v>11</v>
      </c>
      <c r="B144" t="str">
        <f>"Baker, Sydney (378702)"</f>
        <v>Baker, Sydney (378702)</v>
      </c>
      <c r="C144" s="1" t="s">
        <v>9</v>
      </c>
      <c r="D144" t="str">
        <f>"556.4 - 0"</f>
        <v>556.4 - 0</v>
      </c>
      <c r="E144" t="str">
        <f>"552.0 - 0"</f>
        <v>552.0 - 0</v>
      </c>
      <c r="F144" t="str">
        <f>"572.4 - 0"</f>
        <v>572.4 - 0</v>
      </c>
      <c r="G144" t="str">
        <f>"1,680.8 - 0"</f>
        <v>1,680.8 - 0</v>
      </c>
    </row>
    <row r="145" spans="1:8" x14ac:dyDescent="0.35">
      <c r="A145" s="2">
        <v>12</v>
      </c>
      <c r="B145" t="str">
        <f>"Pham, Isabella (372186)"</f>
        <v>Pham, Isabella (372186)</v>
      </c>
      <c r="C145" s="1" t="s">
        <v>9</v>
      </c>
      <c r="D145" t="str">
        <f>"562.5 - 0"</f>
        <v>562.5 - 0</v>
      </c>
      <c r="E145" t="str">
        <f>"551.4 - 0"</f>
        <v>551.4 - 0</v>
      </c>
      <c r="F145" t="str">
        <f>"536.7 - 0"</f>
        <v>536.7 - 0</v>
      </c>
      <c r="G145" t="str">
        <f>"1,650.6 - 0"</f>
        <v>1,650.6 - 0</v>
      </c>
    </row>
    <row r="146" spans="1:8" x14ac:dyDescent="0.35">
      <c r="A146" s="2">
        <v>13</v>
      </c>
      <c r="B146" t="str">
        <f>"Stelter, Mausten (361620)"</f>
        <v>Stelter, Mausten (361620)</v>
      </c>
      <c r="C146" s="1" t="s">
        <v>9</v>
      </c>
      <c r="D146" t="str">
        <f>"546.8 - 0"</f>
        <v>546.8 - 0</v>
      </c>
      <c r="E146" t="str">
        <f>"555.2 - 0"</f>
        <v>555.2 - 0</v>
      </c>
      <c r="F146" t="str">
        <f>"542.3 - 0"</f>
        <v>542.3 - 0</v>
      </c>
      <c r="G146" t="str">
        <f>"1,644.3 - 0"</f>
        <v>1,644.3 - 0</v>
      </c>
    </row>
    <row r="147" spans="1:8" x14ac:dyDescent="0.35">
      <c r="A147" s="2">
        <v>14</v>
      </c>
      <c r="B147" t="str">
        <f>"Eichmann, Gabbie (361618)"</f>
        <v>Eichmann, Gabbie (361618)</v>
      </c>
      <c r="C147" s="1" t="s">
        <v>9</v>
      </c>
      <c r="D147" t="str">
        <f>"518.9 - 0"</f>
        <v>518.9 - 0</v>
      </c>
      <c r="E147" t="str">
        <f>"532.8 - 0"</f>
        <v>532.8 - 0</v>
      </c>
      <c r="F147" t="str">
        <f>"517.9 - 0"</f>
        <v>517.9 - 0</v>
      </c>
      <c r="G147" t="str">
        <f>"1,569.6 - 0"</f>
        <v>1,569.6 - 0</v>
      </c>
    </row>
    <row r="149" spans="1:8" x14ac:dyDescent="0.35">
      <c r="A149" s="2" t="str">
        <f>"SENIOR"</f>
        <v>SENIOR</v>
      </c>
    </row>
    <row r="150" spans="1:8" x14ac:dyDescent="0.35">
      <c r="B150" t="s">
        <v>190</v>
      </c>
      <c r="C150" s="1" t="s">
        <v>13</v>
      </c>
      <c r="D150" t="s">
        <v>191</v>
      </c>
      <c r="E150" t="s">
        <v>192</v>
      </c>
      <c r="F150" t="s">
        <v>193</v>
      </c>
      <c r="G150" t="s">
        <v>194</v>
      </c>
      <c r="H150" s="5" t="s">
        <v>36</v>
      </c>
    </row>
    <row r="151" spans="1:8" x14ac:dyDescent="0.35">
      <c r="B151" t="str">
        <f>"Parziale, Brian (205160)"</f>
        <v>Parziale, Brian (205160)</v>
      </c>
      <c r="C151" s="1" t="s">
        <v>13</v>
      </c>
      <c r="D151" t="str">
        <f>"576.7"</f>
        <v>576.7</v>
      </c>
      <c r="E151" t="str">
        <f>"585.1"</f>
        <v>585.1</v>
      </c>
      <c r="F151" t="str">
        <f>"584.5"</f>
        <v>584.5</v>
      </c>
      <c r="G151" t="str">
        <f>"1,746.3"</f>
        <v>1,746.3</v>
      </c>
      <c r="H151" s="6" t="s">
        <v>39</v>
      </c>
    </row>
    <row r="152" spans="1:8" x14ac:dyDescent="0.35">
      <c r="B152" t="s">
        <v>195</v>
      </c>
      <c r="C152" s="1" t="s">
        <v>13</v>
      </c>
      <c r="D152" t="s">
        <v>196</v>
      </c>
      <c r="E152" t="s">
        <v>197</v>
      </c>
      <c r="F152" t="s">
        <v>198</v>
      </c>
      <c r="G152" t="s">
        <v>199</v>
      </c>
      <c r="H152" s="7" t="s">
        <v>41</v>
      </c>
    </row>
    <row r="153" spans="1:8" x14ac:dyDescent="0.35">
      <c r="B153" t="str">
        <f>"Speck, Jon (234685)"</f>
        <v>Speck, Jon (234685)</v>
      </c>
      <c r="C153" s="1" t="s">
        <v>13</v>
      </c>
      <c r="D153" t="str">
        <f>"528.4"</f>
        <v>528.4</v>
      </c>
      <c r="E153" t="str">
        <f>"540.3"</f>
        <v>540.3</v>
      </c>
      <c r="F153" t="str">
        <f>"524.1"</f>
        <v>524.1</v>
      </c>
      <c r="G153" t="str">
        <f>"1,592.8"</f>
        <v>1,592.8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E532C-3ACC-4563-9FF3-585FBC06D359}">
  <sheetPr>
    <tabColor theme="4" tint="0.59999389629810485"/>
  </sheetPr>
  <dimension ref="A1:O18"/>
  <sheetViews>
    <sheetView workbookViewId="0">
      <selection activeCell="C28" sqref="C28"/>
    </sheetView>
  </sheetViews>
  <sheetFormatPr defaultColWidth="8.81640625" defaultRowHeight="14.5" x14ac:dyDescent="0.35"/>
  <cols>
    <col min="1" max="1" width="5.36328125" bestFit="1" customWidth="1"/>
    <col min="2" max="2" width="5.1796875" bestFit="1" customWidth="1"/>
    <col min="3" max="3" width="24.6328125" bestFit="1" customWidth="1"/>
    <col min="4" max="4" width="10.81640625" bestFit="1" customWidth="1"/>
    <col min="5" max="5" width="8.81640625" bestFit="1" customWidth="1"/>
    <col min="6" max="14" width="7.453125" bestFit="1" customWidth="1"/>
    <col min="15" max="15" width="6" bestFit="1" customWidth="1"/>
  </cols>
  <sheetData>
    <row r="1" spans="1:15" x14ac:dyDescent="0.35">
      <c r="A1" s="3" t="s">
        <v>200</v>
      </c>
    </row>
    <row r="4" spans="1:15" x14ac:dyDescent="0.35">
      <c r="A4" t="s">
        <v>0</v>
      </c>
      <c r="B4" t="s">
        <v>201</v>
      </c>
      <c r="C4" t="s">
        <v>1</v>
      </c>
      <c r="D4" t="s">
        <v>202</v>
      </c>
      <c r="E4" t="s">
        <v>2</v>
      </c>
      <c r="F4" t="s">
        <v>203</v>
      </c>
      <c r="G4" t="s">
        <v>204</v>
      </c>
      <c r="H4" t="s">
        <v>205</v>
      </c>
      <c r="I4" t="s">
        <v>206</v>
      </c>
      <c r="J4" t="s">
        <v>207</v>
      </c>
      <c r="K4" t="s">
        <v>208</v>
      </c>
      <c r="L4" t="s">
        <v>209</v>
      </c>
      <c r="M4" t="s">
        <v>210</v>
      </c>
      <c r="N4" t="s">
        <v>211</v>
      </c>
      <c r="O4" t="s">
        <v>212</v>
      </c>
    </row>
    <row r="5" spans="1:15" x14ac:dyDescent="0.35">
      <c r="A5">
        <v>1</v>
      </c>
      <c r="B5">
        <v>7</v>
      </c>
      <c r="C5" t="s">
        <v>213</v>
      </c>
      <c r="D5">
        <v>319315</v>
      </c>
      <c r="E5" t="s">
        <v>214</v>
      </c>
      <c r="F5">
        <v>48.6</v>
      </c>
      <c r="G5">
        <v>51.1</v>
      </c>
      <c r="H5">
        <v>19.8</v>
      </c>
      <c r="I5">
        <v>20.8</v>
      </c>
      <c r="J5">
        <v>21</v>
      </c>
      <c r="K5">
        <v>20.9</v>
      </c>
      <c r="L5">
        <v>21.2</v>
      </c>
      <c r="M5">
        <v>19.3</v>
      </c>
      <c r="N5">
        <v>20.8</v>
      </c>
      <c r="O5">
        <v>243.5</v>
      </c>
    </row>
    <row r="6" spans="1:15" x14ac:dyDescent="0.35">
      <c r="A6">
        <v>2</v>
      </c>
      <c r="B6">
        <v>8</v>
      </c>
      <c r="C6" t="s">
        <v>215</v>
      </c>
      <c r="D6">
        <v>279872</v>
      </c>
      <c r="E6" t="s">
        <v>214</v>
      </c>
      <c r="F6">
        <v>49.5</v>
      </c>
      <c r="G6">
        <v>48</v>
      </c>
      <c r="H6">
        <v>19.899999999999999</v>
      </c>
      <c r="I6">
        <v>19.899999999999999</v>
      </c>
      <c r="J6">
        <v>20.399999999999999</v>
      </c>
      <c r="K6">
        <v>20.7</v>
      </c>
      <c r="L6">
        <v>20.3</v>
      </c>
      <c r="M6">
        <v>19.600000000000001</v>
      </c>
      <c r="N6">
        <v>19.399999999999999</v>
      </c>
      <c r="O6">
        <v>237.7</v>
      </c>
    </row>
    <row r="7" spans="1:15" x14ac:dyDescent="0.35">
      <c r="A7">
        <v>3</v>
      </c>
      <c r="B7">
        <v>9</v>
      </c>
      <c r="C7" t="s">
        <v>216</v>
      </c>
      <c r="D7">
        <v>375344</v>
      </c>
      <c r="E7" t="s">
        <v>214</v>
      </c>
      <c r="F7">
        <v>47</v>
      </c>
      <c r="G7">
        <v>49.5</v>
      </c>
      <c r="H7">
        <v>20.2</v>
      </c>
      <c r="I7">
        <v>20.3</v>
      </c>
      <c r="J7">
        <v>19.3</v>
      </c>
      <c r="K7">
        <v>20.5</v>
      </c>
      <c r="L7">
        <v>21</v>
      </c>
      <c r="M7">
        <v>18.5</v>
      </c>
      <c r="N7">
        <v>0</v>
      </c>
      <c r="O7">
        <v>216.3</v>
      </c>
    </row>
    <row r="8" spans="1:15" x14ac:dyDescent="0.35">
      <c r="A8">
        <v>4</v>
      </c>
      <c r="B8">
        <v>17</v>
      </c>
      <c r="C8" t="s">
        <v>217</v>
      </c>
      <c r="D8">
        <v>356331</v>
      </c>
      <c r="E8" t="s">
        <v>214</v>
      </c>
      <c r="F8">
        <v>50.2</v>
      </c>
      <c r="G8">
        <v>48.6</v>
      </c>
      <c r="H8">
        <v>19.100000000000001</v>
      </c>
      <c r="I8">
        <v>19.2</v>
      </c>
      <c r="J8">
        <v>19.8</v>
      </c>
      <c r="K8">
        <v>17.100000000000001</v>
      </c>
      <c r="L8">
        <v>16.2</v>
      </c>
      <c r="M8">
        <v>0</v>
      </c>
      <c r="N8">
        <v>0</v>
      </c>
      <c r="O8">
        <v>190.2</v>
      </c>
    </row>
    <row r="9" spans="1:15" x14ac:dyDescent="0.35">
      <c r="A9">
        <v>5</v>
      </c>
      <c r="B9">
        <v>11</v>
      </c>
      <c r="C9" t="s">
        <v>218</v>
      </c>
      <c r="D9">
        <v>359931</v>
      </c>
      <c r="E9" t="s">
        <v>214</v>
      </c>
      <c r="F9">
        <v>49.3</v>
      </c>
      <c r="G9">
        <v>48.8</v>
      </c>
      <c r="H9">
        <v>18</v>
      </c>
      <c r="I9">
        <v>20.100000000000001</v>
      </c>
      <c r="J9">
        <v>18.899999999999999</v>
      </c>
      <c r="K9">
        <v>18.5</v>
      </c>
      <c r="L9">
        <v>0</v>
      </c>
      <c r="M9">
        <v>0</v>
      </c>
      <c r="N9">
        <v>0</v>
      </c>
      <c r="O9">
        <v>173.6</v>
      </c>
    </row>
    <row r="10" spans="1:15" x14ac:dyDescent="0.35">
      <c r="A10">
        <v>6</v>
      </c>
      <c r="B10">
        <v>10</v>
      </c>
      <c r="C10" t="s">
        <v>219</v>
      </c>
      <c r="D10">
        <v>345230</v>
      </c>
      <c r="E10" t="s">
        <v>214</v>
      </c>
      <c r="F10">
        <v>46</v>
      </c>
      <c r="G10">
        <v>51.1</v>
      </c>
      <c r="H10">
        <v>18.7</v>
      </c>
      <c r="I10">
        <v>18.5</v>
      </c>
      <c r="J10">
        <v>19.3</v>
      </c>
      <c r="K10">
        <v>0</v>
      </c>
      <c r="L10">
        <v>0</v>
      </c>
      <c r="M10">
        <v>0</v>
      </c>
      <c r="N10">
        <v>0</v>
      </c>
      <c r="O10">
        <v>153.6</v>
      </c>
    </row>
    <row r="11" spans="1:15" x14ac:dyDescent="0.35">
      <c r="A11">
        <v>7</v>
      </c>
      <c r="B11">
        <v>19</v>
      </c>
      <c r="C11" t="s">
        <v>220</v>
      </c>
      <c r="D11">
        <v>361620</v>
      </c>
      <c r="E11" t="s">
        <v>214</v>
      </c>
      <c r="F11">
        <v>47</v>
      </c>
      <c r="G11">
        <v>48.9</v>
      </c>
      <c r="H11">
        <v>19.899999999999999</v>
      </c>
      <c r="I11">
        <v>15.5</v>
      </c>
      <c r="J11">
        <v>0</v>
      </c>
      <c r="K11">
        <v>0</v>
      </c>
      <c r="L11">
        <v>0</v>
      </c>
      <c r="M11">
        <v>0</v>
      </c>
      <c r="N11">
        <v>0</v>
      </c>
      <c r="O11">
        <v>131.30000000000001</v>
      </c>
    </row>
    <row r="12" spans="1:15" x14ac:dyDescent="0.35">
      <c r="A12">
        <v>8</v>
      </c>
      <c r="B12">
        <v>14</v>
      </c>
      <c r="C12" t="s">
        <v>221</v>
      </c>
      <c r="D12">
        <v>358937</v>
      </c>
      <c r="E12" t="s">
        <v>214</v>
      </c>
      <c r="F12">
        <v>51</v>
      </c>
      <c r="G12">
        <v>45.6</v>
      </c>
      <c r="H12">
        <v>17.5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114.1</v>
      </c>
    </row>
    <row r="13" spans="1:15" x14ac:dyDescent="0.35">
      <c r="A13">
        <v>9</v>
      </c>
      <c r="B13">
        <v>12</v>
      </c>
      <c r="C13" t="s">
        <v>222</v>
      </c>
      <c r="D13">
        <v>318843</v>
      </c>
      <c r="E13" t="s">
        <v>214</v>
      </c>
      <c r="F13">
        <v>48.3</v>
      </c>
      <c r="G13">
        <v>47.4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95.7</v>
      </c>
    </row>
    <row r="14" spans="1:15" x14ac:dyDescent="0.35">
      <c r="A14">
        <v>10</v>
      </c>
      <c r="B14">
        <v>13</v>
      </c>
      <c r="C14" t="s">
        <v>223</v>
      </c>
      <c r="D14">
        <v>334385</v>
      </c>
      <c r="E14" t="s">
        <v>214</v>
      </c>
      <c r="F14">
        <v>47.9</v>
      </c>
      <c r="G14">
        <v>47.3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95.2</v>
      </c>
    </row>
    <row r="15" spans="1:15" x14ac:dyDescent="0.35">
      <c r="A15">
        <v>11</v>
      </c>
      <c r="B15">
        <v>15</v>
      </c>
      <c r="C15" t="s">
        <v>224</v>
      </c>
      <c r="D15">
        <v>372186</v>
      </c>
      <c r="E15" t="s">
        <v>214</v>
      </c>
      <c r="F15">
        <v>46.3</v>
      </c>
      <c r="G15">
        <v>48.6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94.9</v>
      </c>
    </row>
    <row r="16" spans="1:15" x14ac:dyDescent="0.35">
      <c r="A16">
        <v>12</v>
      </c>
      <c r="B16">
        <v>18</v>
      </c>
      <c r="C16" t="s">
        <v>225</v>
      </c>
      <c r="D16">
        <v>380824</v>
      </c>
      <c r="E16" t="s">
        <v>214</v>
      </c>
      <c r="F16">
        <v>46.2</v>
      </c>
      <c r="G16">
        <v>48.3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94.5</v>
      </c>
    </row>
    <row r="17" spans="1:15" x14ac:dyDescent="0.35">
      <c r="A17">
        <v>13</v>
      </c>
      <c r="B17">
        <v>16</v>
      </c>
      <c r="C17" t="s">
        <v>226</v>
      </c>
      <c r="D17">
        <v>378702</v>
      </c>
      <c r="E17" t="s">
        <v>214</v>
      </c>
      <c r="F17">
        <v>41.1</v>
      </c>
      <c r="G17">
        <v>47.5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88.6</v>
      </c>
    </row>
    <row r="18" spans="1:15" x14ac:dyDescent="0.35">
      <c r="A18">
        <v>14</v>
      </c>
      <c r="B18">
        <v>20</v>
      </c>
      <c r="C18" t="s">
        <v>227</v>
      </c>
      <c r="D18">
        <v>361618</v>
      </c>
      <c r="E18" t="s">
        <v>214</v>
      </c>
      <c r="F18">
        <v>39.9</v>
      </c>
      <c r="G18">
        <v>41.5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81.400000000000006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2BEC0-CA03-416F-9385-5A98CBFB71E1}">
  <sheetPr>
    <tabColor theme="4" tint="0.59999389629810485"/>
  </sheetPr>
  <dimension ref="A1:O80"/>
  <sheetViews>
    <sheetView workbookViewId="0"/>
  </sheetViews>
  <sheetFormatPr defaultColWidth="8.81640625" defaultRowHeight="14.5" x14ac:dyDescent="0.35"/>
  <cols>
    <col min="1" max="1" width="5.36328125" bestFit="1" customWidth="1"/>
    <col min="2" max="2" width="5.1796875" bestFit="1" customWidth="1"/>
    <col min="3" max="3" width="27.453125" bestFit="1" customWidth="1"/>
    <col min="4" max="4" width="10.81640625" bestFit="1" customWidth="1"/>
    <col min="5" max="5" width="8.81640625" bestFit="1" customWidth="1"/>
    <col min="6" max="13" width="7.453125" bestFit="1" customWidth="1"/>
    <col min="14" max="14" width="7.453125" customWidth="1"/>
    <col min="15" max="15" width="6" bestFit="1" customWidth="1"/>
  </cols>
  <sheetData>
    <row r="1" spans="1:15" x14ac:dyDescent="0.35">
      <c r="A1" s="3" t="s">
        <v>228</v>
      </c>
    </row>
    <row r="3" spans="1:15" x14ac:dyDescent="0.35">
      <c r="A3" t="s">
        <v>0</v>
      </c>
      <c r="B3" t="s">
        <v>201</v>
      </c>
      <c r="C3" t="s">
        <v>1</v>
      </c>
      <c r="D3" t="s">
        <v>202</v>
      </c>
      <c r="E3" t="s">
        <v>2</v>
      </c>
      <c r="F3" t="s">
        <v>203</v>
      </c>
      <c r="G3" t="s">
        <v>204</v>
      </c>
      <c r="H3" t="s">
        <v>205</v>
      </c>
      <c r="I3" t="s">
        <v>206</v>
      </c>
      <c r="J3" t="s">
        <v>207</v>
      </c>
      <c r="K3" t="s">
        <v>208</v>
      </c>
      <c r="L3" t="s">
        <v>209</v>
      </c>
      <c r="M3" t="s">
        <v>210</v>
      </c>
      <c r="N3" t="s">
        <v>211</v>
      </c>
      <c r="O3" t="s">
        <v>212</v>
      </c>
    </row>
    <row r="4" spans="1:15" x14ac:dyDescent="0.35">
      <c r="A4">
        <v>1</v>
      </c>
      <c r="B4">
        <v>2</v>
      </c>
      <c r="C4" t="s">
        <v>229</v>
      </c>
      <c r="D4">
        <v>277153</v>
      </c>
      <c r="E4" t="s">
        <v>230</v>
      </c>
      <c r="F4">
        <v>51.4</v>
      </c>
      <c r="G4">
        <v>51.6</v>
      </c>
      <c r="H4">
        <v>21.1</v>
      </c>
      <c r="I4">
        <v>20.7</v>
      </c>
      <c r="J4">
        <v>19.8</v>
      </c>
      <c r="K4">
        <v>21.1</v>
      </c>
      <c r="L4">
        <v>20.5</v>
      </c>
      <c r="M4">
        <v>20.2</v>
      </c>
      <c r="N4">
        <v>20.3</v>
      </c>
      <c r="O4">
        <v>247.6</v>
      </c>
    </row>
    <row r="5" spans="1:15" x14ac:dyDescent="0.35">
      <c r="A5">
        <v>2</v>
      </c>
      <c r="B5">
        <v>1</v>
      </c>
      <c r="C5" t="s">
        <v>231</v>
      </c>
      <c r="D5">
        <v>369838</v>
      </c>
      <c r="E5" t="s">
        <v>230</v>
      </c>
      <c r="F5">
        <v>51.2</v>
      </c>
      <c r="G5">
        <v>52.3</v>
      </c>
      <c r="H5">
        <v>21.1</v>
      </c>
      <c r="I5">
        <v>20.6</v>
      </c>
      <c r="J5">
        <v>20.100000000000001</v>
      </c>
      <c r="K5">
        <v>20.7</v>
      </c>
      <c r="L5">
        <v>20.100000000000001</v>
      </c>
      <c r="M5">
        <v>20.8</v>
      </c>
      <c r="N5">
        <v>20.6</v>
      </c>
      <c r="O5">
        <v>246.6</v>
      </c>
    </row>
    <row r="6" spans="1:15" x14ac:dyDescent="0.35">
      <c r="A6">
        <v>3</v>
      </c>
      <c r="B6">
        <v>3</v>
      </c>
      <c r="C6" t="s">
        <v>232</v>
      </c>
      <c r="D6">
        <v>301932</v>
      </c>
      <c r="E6" t="s">
        <v>230</v>
      </c>
      <c r="F6">
        <v>51.9</v>
      </c>
      <c r="G6">
        <v>52.1</v>
      </c>
      <c r="H6">
        <v>19.7</v>
      </c>
      <c r="I6">
        <v>20.8</v>
      </c>
      <c r="J6">
        <v>20.399999999999999</v>
      </c>
      <c r="K6">
        <v>20.6</v>
      </c>
      <c r="L6">
        <v>20.3</v>
      </c>
      <c r="M6">
        <v>20.2</v>
      </c>
      <c r="N6">
        <v>0</v>
      </c>
      <c r="O6">
        <v>226</v>
      </c>
    </row>
    <row r="7" spans="1:15" x14ac:dyDescent="0.35">
      <c r="A7">
        <v>4</v>
      </c>
      <c r="B7">
        <v>7</v>
      </c>
      <c r="C7" t="s">
        <v>233</v>
      </c>
      <c r="D7">
        <v>224913</v>
      </c>
      <c r="E7" t="s">
        <v>230</v>
      </c>
      <c r="F7">
        <v>52.4</v>
      </c>
      <c r="G7">
        <v>52</v>
      </c>
      <c r="H7">
        <v>21</v>
      </c>
      <c r="I7">
        <v>20.100000000000001</v>
      </c>
      <c r="J7">
        <v>21.2</v>
      </c>
      <c r="K7">
        <v>19.399999999999999</v>
      </c>
      <c r="L7">
        <v>19.399999999999999</v>
      </c>
      <c r="M7">
        <v>0</v>
      </c>
      <c r="N7">
        <v>0</v>
      </c>
      <c r="O7">
        <v>205.5</v>
      </c>
    </row>
    <row r="8" spans="1:15" x14ac:dyDescent="0.35">
      <c r="A8">
        <v>5</v>
      </c>
      <c r="B8">
        <v>47</v>
      </c>
      <c r="C8" t="s">
        <v>234</v>
      </c>
      <c r="D8">
        <v>312913</v>
      </c>
      <c r="E8" t="s">
        <v>230</v>
      </c>
      <c r="F8">
        <v>51</v>
      </c>
      <c r="G8">
        <v>52.1</v>
      </c>
      <c r="H8">
        <v>20.6</v>
      </c>
      <c r="I8">
        <v>20</v>
      </c>
      <c r="J8">
        <v>20.5</v>
      </c>
      <c r="K8">
        <v>21</v>
      </c>
      <c r="L8">
        <v>0</v>
      </c>
      <c r="M8">
        <v>0</v>
      </c>
      <c r="N8">
        <v>0</v>
      </c>
      <c r="O8">
        <v>185.2</v>
      </c>
    </row>
    <row r="9" spans="1:15" x14ac:dyDescent="0.35">
      <c r="A9">
        <v>6</v>
      </c>
      <c r="B9">
        <v>23</v>
      </c>
      <c r="C9" t="s">
        <v>235</v>
      </c>
      <c r="D9">
        <v>267360</v>
      </c>
      <c r="E9" t="s">
        <v>230</v>
      </c>
      <c r="F9">
        <v>52</v>
      </c>
      <c r="G9">
        <v>50.7</v>
      </c>
      <c r="H9">
        <v>19.899999999999999</v>
      </c>
      <c r="I9">
        <v>19.100000000000001</v>
      </c>
      <c r="J9">
        <v>20</v>
      </c>
      <c r="K9">
        <v>0</v>
      </c>
      <c r="L9">
        <v>0</v>
      </c>
      <c r="M9">
        <v>0</v>
      </c>
      <c r="N9">
        <v>0</v>
      </c>
      <c r="O9">
        <v>161.69999999999999</v>
      </c>
    </row>
    <row r="10" spans="1:15" x14ac:dyDescent="0.35">
      <c r="A10">
        <v>7</v>
      </c>
      <c r="B10">
        <v>30</v>
      </c>
      <c r="C10" t="s">
        <v>236</v>
      </c>
      <c r="D10">
        <v>316292</v>
      </c>
      <c r="E10" t="s">
        <v>230</v>
      </c>
      <c r="F10">
        <v>50.6</v>
      </c>
      <c r="G10">
        <v>52.3</v>
      </c>
      <c r="H10">
        <v>19.5</v>
      </c>
      <c r="I10">
        <v>18.2</v>
      </c>
      <c r="J10">
        <v>0</v>
      </c>
      <c r="K10">
        <v>0</v>
      </c>
      <c r="L10">
        <v>0</v>
      </c>
      <c r="M10">
        <v>0</v>
      </c>
      <c r="N10">
        <v>0</v>
      </c>
      <c r="O10">
        <v>140.6</v>
      </c>
    </row>
    <row r="11" spans="1:15" x14ac:dyDescent="0.35">
      <c r="A11">
        <v>8</v>
      </c>
      <c r="B11">
        <v>54</v>
      </c>
      <c r="C11" t="s">
        <v>237</v>
      </c>
      <c r="D11">
        <v>284839</v>
      </c>
      <c r="E11" t="s">
        <v>230</v>
      </c>
      <c r="F11">
        <v>52</v>
      </c>
      <c r="G11">
        <v>50.7</v>
      </c>
      <c r="H11">
        <v>18.899999999999999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121.6</v>
      </c>
    </row>
    <row r="12" spans="1:15" x14ac:dyDescent="0.35">
      <c r="A12">
        <v>9</v>
      </c>
      <c r="B12">
        <v>22</v>
      </c>
      <c r="C12" t="s">
        <v>238</v>
      </c>
      <c r="D12">
        <v>277963</v>
      </c>
      <c r="E12" t="s">
        <v>230</v>
      </c>
      <c r="F12">
        <v>51.3</v>
      </c>
      <c r="G12">
        <v>51.2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102.5</v>
      </c>
    </row>
    <row r="13" spans="1:15" x14ac:dyDescent="0.35">
      <c r="A13">
        <v>10</v>
      </c>
      <c r="B13">
        <v>65</v>
      </c>
      <c r="C13" t="s">
        <v>239</v>
      </c>
      <c r="D13">
        <v>275933</v>
      </c>
      <c r="E13" t="s">
        <v>230</v>
      </c>
      <c r="F13">
        <v>49.9</v>
      </c>
      <c r="G13">
        <v>52.3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102.2</v>
      </c>
    </row>
    <row r="14" spans="1:15" x14ac:dyDescent="0.35">
      <c r="A14">
        <v>11</v>
      </c>
      <c r="B14">
        <v>33</v>
      </c>
      <c r="C14" t="s">
        <v>240</v>
      </c>
      <c r="D14">
        <v>282179</v>
      </c>
      <c r="E14" t="s">
        <v>230</v>
      </c>
      <c r="F14">
        <v>50.6</v>
      </c>
      <c r="G14">
        <v>51.5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102.1</v>
      </c>
    </row>
    <row r="15" spans="1:15" x14ac:dyDescent="0.35">
      <c r="A15">
        <v>12</v>
      </c>
      <c r="B15">
        <v>21</v>
      </c>
      <c r="C15" t="s">
        <v>241</v>
      </c>
      <c r="D15">
        <v>275938</v>
      </c>
      <c r="E15" t="s">
        <v>230</v>
      </c>
      <c r="F15">
        <v>51.9</v>
      </c>
      <c r="G15">
        <v>50.1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102</v>
      </c>
    </row>
    <row r="16" spans="1:15" x14ac:dyDescent="0.35">
      <c r="A16">
        <v>13</v>
      </c>
      <c r="B16">
        <v>35</v>
      </c>
      <c r="C16" t="s">
        <v>242</v>
      </c>
      <c r="D16">
        <v>377849</v>
      </c>
      <c r="E16" t="s">
        <v>230</v>
      </c>
      <c r="F16">
        <v>50.6</v>
      </c>
      <c r="G16">
        <v>51.4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102</v>
      </c>
    </row>
    <row r="17" spans="1:15" x14ac:dyDescent="0.35">
      <c r="A17">
        <v>14</v>
      </c>
      <c r="B17">
        <v>6</v>
      </c>
      <c r="C17" t="s">
        <v>243</v>
      </c>
      <c r="D17">
        <v>356924</v>
      </c>
      <c r="E17" t="s">
        <v>230</v>
      </c>
      <c r="F17">
        <v>51</v>
      </c>
      <c r="G17">
        <v>50.9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101.9</v>
      </c>
    </row>
    <row r="18" spans="1:15" x14ac:dyDescent="0.35">
      <c r="A18">
        <v>15</v>
      </c>
      <c r="B18">
        <v>11</v>
      </c>
      <c r="C18" t="s">
        <v>244</v>
      </c>
      <c r="D18">
        <v>355166</v>
      </c>
      <c r="E18" t="s">
        <v>230</v>
      </c>
      <c r="F18">
        <v>51.4</v>
      </c>
      <c r="G18">
        <v>50.5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101.9</v>
      </c>
    </row>
    <row r="19" spans="1:15" x14ac:dyDescent="0.35">
      <c r="A19">
        <v>16</v>
      </c>
      <c r="B19">
        <v>45</v>
      </c>
      <c r="C19" t="s">
        <v>245</v>
      </c>
      <c r="D19">
        <v>378598</v>
      </c>
      <c r="E19" t="s">
        <v>230</v>
      </c>
      <c r="F19">
        <v>52.5</v>
      </c>
      <c r="G19">
        <v>49.4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101.9</v>
      </c>
    </row>
    <row r="20" spans="1:15" x14ac:dyDescent="0.35">
      <c r="A20">
        <v>17</v>
      </c>
      <c r="B20">
        <v>27</v>
      </c>
      <c r="C20" t="s">
        <v>246</v>
      </c>
      <c r="D20">
        <v>335242</v>
      </c>
      <c r="E20" t="s">
        <v>230</v>
      </c>
      <c r="F20">
        <v>50.3</v>
      </c>
      <c r="G20">
        <v>51.4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101.7</v>
      </c>
    </row>
    <row r="21" spans="1:15" x14ac:dyDescent="0.35">
      <c r="A21">
        <v>18</v>
      </c>
      <c r="B21">
        <v>43</v>
      </c>
      <c r="C21" t="s">
        <v>247</v>
      </c>
      <c r="D21">
        <v>306261</v>
      </c>
      <c r="E21" t="s">
        <v>230</v>
      </c>
      <c r="F21">
        <v>50.1</v>
      </c>
      <c r="G21">
        <v>51.3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101.4</v>
      </c>
    </row>
    <row r="22" spans="1:15" x14ac:dyDescent="0.35">
      <c r="A22">
        <v>19</v>
      </c>
      <c r="B22">
        <v>12</v>
      </c>
      <c r="C22" t="s">
        <v>248</v>
      </c>
      <c r="D22">
        <v>353340</v>
      </c>
      <c r="E22" t="s">
        <v>230</v>
      </c>
      <c r="F22">
        <v>50.3</v>
      </c>
      <c r="G22">
        <v>51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101.3</v>
      </c>
    </row>
    <row r="23" spans="1:15" x14ac:dyDescent="0.35">
      <c r="A23">
        <v>20</v>
      </c>
      <c r="B23">
        <v>29</v>
      </c>
      <c r="C23" t="s">
        <v>249</v>
      </c>
      <c r="D23">
        <v>363626</v>
      </c>
      <c r="E23" t="s">
        <v>230</v>
      </c>
      <c r="F23">
        <v>50.1</v>
      </c>
      <c r="G23">
        <v>51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101.1</v>
      </c>
    </row>
    <row r="24" spans="1:15" x14ac:dyDescent="0.35">
      <c r="A24">
        <v>21</v>
      </c>
      <c r="B24">
        <v>4</v>
      </c>
      <c r="C24" t="s">
        <v>250</v>
      </c>
      <c r="D24">
        <v>359341</v>
      </c>
      <c r="E24" t="s">
        <v>230</v>
      </c>
      <c r="F24">
        <v>50.8</v>
      </c>
      <c r="G24">
        <v>50.2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101</v>
      </c>
    </row>
    <row r="25" spans="1:15" x14ac:dyDescent="0.35">
      <c r="A25">
        <v>22</v>
      </c>
      <c r="B25">
        <v>5</v>
      </c>
      <c r="C25" t="s">
        <v>251</v>
      </c>
      <c r="D25">
        <v>335809</v>
      </c>
      <c r="E25" t="s">
        <v>230</v>
      </c>
      <c r="F25">
        <v>48.8</v>
      </c>
      <c r="G25">
        <v>52.2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101</v>
      </c>
    </row>
    <row r="26" spans="1:15" x14ac:dyDescent="0.35">
      <c r="A26">
        <v>23</v>
      </c>
      <c r="B26">
        <v>40</v>
      </c>
      <c r="C26" t="s">
        <v>252</v>
      </c>
      <c r="D26">
        <v>355936</v>
      </c>
      <c r="E26" t="s">
        <v>230</v>
      </c>
      <c r="F26">
        <v>50.1</v>
      </c>
      <c r="G26">
        <v>50.9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101</v>
      </c>
    </row>
    <row r="27" spans="1:15" x14ac:dyDescent="0.35">
      <c r="A27">
        <v>24</v>
      </c>
      <c r="B27">
        <v>8</v>
      </c>
      <c r="C27" t="s">
        <v>253</v>
      </c>
      <c r="D27">
        <v>257820</v>
      </c>
      <c r="E27" t="s">
        <v>230</v>
      </c>
      <c r="F27">
        <v>50.5</v>
      </c>
      <c r="G27">
        <v>50.4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100.9</v>
      </c>
    </row>
    <row r="28" spans="1:15" x14ac:dyDescent="0.35">
      <c r="A28">
        <v>25</v>
      </c>
      <c r="B28">
        <v>20</v>
      </c>
      <c r="C28" t="s">
        <v>254</v>
      </c>
      <c r="D28">
        <v>227604</v>
      </c>
      <c r="E28" t="s">
        <v>230</v>
      </c>
      <c r="F28">
        <v>49.7</v>
      </c>
      <c r="G28">
        <v>51.2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100.9</v>
      </c>
    </row>
    <row r="29" spans="1:15" x14ac:dyDescent="0.35">
      <c r="A29">
        <v>26</v>
      </c>
      <c r="B29">
        <v>34</v>
      </c>
      <c r="C29" t="s">
        <v>255</v>
      </c>
      <c r="D29">
        <v>280941</v>
      </c>
      <c r="E29" t="s">
        <v>230</v>
      </c>
      <c r="F29">
        <v>50.6</v>
      </c>
      <c r="G29">
        <v>50.3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100.9</v>
      </c>
    </row>
    <row r="30" spans="1:15" x14ac:dyDescent="0.35">
      <c r="A30">
        <v>27</v>
      </c>
      <c r="B30">
        <v>10</v>
      </c>
      <c r="C30" t="s">
        <v>256</v>
      </c>
      <c r="D30">
        <v>277543</v>
      </c>
      <c r="E30" t="s">
        <v>230</v>
      </c>
      <c r="F30">
        <v>51.2</v>
      </c>
      <c r="G30">
        <v>49.6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100.8</v>
      </c>
    </row>
    <row r="31" spans="1:15" x14ac:dyDescent="0.35">
      <c r="A31">
        <v>28</v>
      </c>
      <c r="B31">
        <v>9</v>
      </c>
      <c r="C31" t="s">
        <v>257</v>
      </c>
      <c r="D31">
        <v>282261</v>
      </c>
      <c r="E31" t="s">
        <v>230</v>
      </c>
      <c r="F31">
        <v>51.2</v>
      </c>
      <c r="G31">
        <v>49.5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100.7</v>
      </c>
    </row>
    <row r="32" spans="1:15" x14ac:dyDescent="0.35">
      <c r="A32">
        <v>29</v>
      </c>
      <c r="B32">
        <v>13</v>
      </c>
      <c r="C32" t="s">
        <v>258</v>
      </c>
      <c r="D32">
        <v>351767</v>
      </c>
      <c r="E32" t="s">
        <v>230</v>
      </c>
      <c r="F32">
        <v>49.7</v>
      </c>
      <c r="G32">
        <v>51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100.7</v>
      </c>
    </row>
    <row r="33" spans="1:15" x14ac:dyDescent="0.35">
      <c r="A33">
        <v>30</v>
      </c>
      <c r="B33">
        <v>24</v>
      </c>
      <c r="C33" t="s">
        <v>259</v>
      </c>
      <c r="D33">
        <v>346661</v>
      </c>
      <c r="E33" t="s">
        <v>230</v>
      </c>
      <c r="F33">
        <v>50.5</v>
      </c>
      <c r="G33">
        <v>50.1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100.6</v>
      </c>
    </row>
    <row r="34" spans="1:15" x14ac:dyDescent="0.35">
      <c r="A34">
        <v>31</v>
      </c>
      <c r="B34">
        <v>52</v>
      </c>
      <c r="C34" t="s">
        <v>260</v>
      </c>
      <c r="D34">
        <v>299134</v>
      </c>
      <c r="E34" t="s">
        <v>230</v>
      </c>
      <c r="F34">
        <v>49.6</v>
      </c>
      <c r="G34">
        <v>50.8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100.4</v>
      </c>
    </row>
    <row r="35" spans="1:15" x14ac:dyDescent="0.35">
      <c r="A35">
        <v>32</v>
      </c>
      <c r="B35">
        <v>59</v>
      </c>
      <c r="C35" t="s">
        <v>261</v>
      </c>
      <c r="D35">
        <v>338285</v>
      </c>
      <c r="E35" t="s">
        <v>230</v>
      </c>
      <c r="F35">
        <v>50.4</v>
      </c>
      <c r="G35">
        <v>50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100.4</v>
      </c>
    </row>
    <row r="36" spans="1:15" x14ac:dyDescent="0.35">
      <c r="A36">
        <v>33</v>
      </c>
      <c r="B36">
        <v>14</v>
      </c>
      <c r="C36" t="s">
        <v>262</v>
      </c>
      <c r="D36">
        <v>256297</v>
      </c>
      <c r="E36" t="s">
        <v>230</v>
      </c>
      <c r="F36">
        <v>50.8</v>
      </c>
      <c r="G36">
        <v>49.5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100.3</v>
      </c>
    </row>
    <row r="37" spans="1:15" x14ac:dyDescent="0.35">
      <c r="A37">
        <v>34</v>
      </c>
      <c r="B37">
        <v>18</v>
      </c>
      <c r="C37" t="s">
        <v>263</v>
      </c>
      <c r="D37">
        <v>335759</v>
      </c>
      <c r="E37" t="s">
        <v>230</v>
      </c>
      <c r="F37">
        <v>49.8</v>
      </c>
      <c r="G37">
        <v>50.4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100.2</v>
      </c>
    </row>
    <row r="38" spans="1:15" x14ac:dyDescent="0.35">
      <c r="A38">
        <v>35</v>
      </c>
      <c r="B38">
        <v>17</v>
      </c>
      <c r="C38" t="s">
        <v>264</v>
      </c>
      <c r="D38">
        <v>341888</v>
      </c>
      <c r="E38" t="s">
        <v>230</v>
      </c>
      <c r="F38">
        <v>49.4</v>
      </c>
      <c r="G38">
        <v>50.7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100.1</v>
      </c>
    </row>
    <row r="39" spans="1:15" x14ac:dyDescent="0.35">
      <c r="A39">
        <v>36</v>
      </c>
      <c r="B39">
        <v>66</v>
      </c>
      <c r="C39" t="s">
        <v>265</v>
      </c>
      <c r="D39">
        <v>321807</v>
      </c>
      <c r="E39" t="s">
        <v>230</v>
      </c>
      <c r="F39">
        <v>51.3</v>
      </c>
      <c r="G39">
        <v>48.7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100</v>
      </c>
    </row>
    <row r="40" spans="1:15" x14ac:dyDescent="0.35">
      <c r="A40">
        <v>37</v>
      </c>
      <c r="B40">
        <v>46</v>
      </c>
      <c r="C40" t="s">
        <v>266</v>
      </c>
      <c r="D40">
        <v>374545</v>
      </c>
      <c r="E40" t="s">
        <v>230</v>
      </c>
      <c r="F40">
        <v>49.6</v>
      </c>
      <c r="G40">
        <v>50.2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99.8</v>
      </c>
    </row>
    <row r="41" spans="1:15" x14ac:dyDescent="0.35">
      <c r="A41">
        <v>38</v>
      </c>
      <c r="B41">
        <v>25</v>
      </c>
      <c r="C41" t="s">
        <v>267</v>
      </c>
      <c r="D41">
        <v>299279</v>
      </c>
      <c r="E41" t="s">
        <v>230</v>
      </c>
      <c r="F41">
        <v>48.2</v>
      </c>
      <c r="G41">
        <v>51.3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99.5</v>
      </c>
    </row>
    <row r="42" spans="1:15" x14ac:dyDescent="0.35">
      <c r="A42">
        <v>39</v>
      </c>
      <c r="B42">
        <v>32</v>
      </c>
      <c r="C42" t="s">
        <v>268</v>
      </c>
      <c r="D42">
        <v>332082</v>
      </c>
      <c r="E42" t="s">
        <v>230</v>
      </c>
      <c r="F42">
        <v>50.8</v>
      </c>
      <c r="G42">
        <v>48.4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99.2</v>
      </c>
    </row>
    <row r="43" spans="1:15" x14ac:dyDescent="0.35">
      <c r="A43">
        <v>40</v>
      </c>
      <c r="B43">
        <v>55</v>
      </c>
      <c r="C43" t="s">
        <v>269</v>
      </c>
      <c r="D43">
        <v>249267</v>
      </c>
      <c r="E43" t="s">
        <v>230</v>
      </c>
      <c r="F43">
        <v>50</v>
      </c>
      <c r="G43">
        <v>49.2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99.2</v>
      </c>
    </row>
    <row r="44" spans="1:15" x14ac:dyDescent="0.35">
      <c r="A44">
        <v>41</v>
      </c>
      <c r="B44">
        <v>15</v>
      </c>
      <c r="C44" t="s">
        <v>270</v>
      </c>
      <c r="D44">
        <v>249132</v>
      </c>
      <c r="E44" t="s">
        <v>230</v>
      </c>
      <c r="F44">
        <v>50.8</v>
      </c>
      <c r="G44">
        <v>48.3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99.1</v>
      </c>
    </row>
    <row r="45" spans="1:15" x14ac:dyDescent="0.35">
      <c r="A45">
        <v>42</v>
      </c>
      <c r="B45">
        <v>42</v>
      </c>
      <c r="C45" t="s">
        <v>271</v>
      </c>
      <c r="D45">
        <v>218311</v>
      </c>
      <c r="E45" t="s">
        <v>230</v>
      </c>
      <c r="F45">
        <v>47.9</v>
      </c>
      <c r="G45">
        <v>51.2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99.1</v>
      </c>
    </row>
    <row r="46" spans="1:15" x14ac:dyDescent="0.35">
      <c r="A46">
        <v>43</v>
      </c>
      <c r="B46">
        <v>16</v>
      </c>
      <c r="C46" t="s">
        <v>272</v>
      </c>
      <c r="D46">
        <v>357120</v>
      </c>
      <c r="E46" t="s">
        <v>230</v>
      </c>
      <c r="F46">
        <v>49.2</v>
      </c>
      <c r="G46">
        <v>49.7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98.9</v>
      </c>
    </row>
    <row r="47" spans="1:15" x14ac:dyDescent="0.35">
      <c r="A47">
        <v>44</v>
      </c>
      <c r="B47">
        <v>19</v>
      </c>
      <c r="C47" t="s">
        <v>273</v>
      </c>
      <c r="D47">
        <v>322167</v>
      </c>
      <c r="E47" t="s">
        <v>230</v>
      </c>
      <c r="F47">
        <v>48.1</v>
      </c>
      <c r="G47">
        <v>50.7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98.8</v>
      </c>
    </row>
    <row r="48" spans="1:15" x14ac:dyDescent="0.35">
      <c r="A48">
        <v>45</v>
      </c>
      <c r="B48">
        <v>36</v>
      </c>
      <c r="C48" t="s">
        <v>274</v>
      </c>
      <c r="D48">
        <v>327027</v>
      </c>
      <c r="E48" t="s">
        <v>230</v>
      </c>
      <c r="F48">
        <v>49.3</v>
      </c>
      <c r="G48">
        <v>49.4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98.7</v>
      </c>
    </row>
    <row r="49" spans="1:15" x14ac:dyDescent="0.35">
      <c r="A49">
        <v>46</v>
      </c>
      <c r="B49">
        <v>73</v>
      </c>
      <c r="C49" t="s">
        <v>275</v>
      </c>
      <c r="D49">
        <v>333061</v>
      </c>
      <c r="E49" t="s">
        <v>230</v>
      </c>
      <c r="F49">
        <v>48.7</v>
      </c>
      <c r="G49">
        <v>50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98.7</v>
      </c>
    </row>
    <row r="50" spans="1:15" x14ac:dyDescent="0.35">
      <c r="A50">
        <v>47</v>
      </c>
      <c r="B50">
        <v>60</v>
      </c>
      <c r="C50" t="s">
        <v>276</v>
      </c>
      <c r="D50">
        <v>330513</v>
      </c>
      <c r="E50" t="s">
        <v>230</v>
      </c>
      <c r="F50">
        <v>48.9</v>
      </c>
      <c r="G50">
        <v>49.7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98.6</v>
      </c>
    </row>
    <row r="51" spans="1:15" x14ac:dyDescent="0.35">
      <c r="A51">
        <v>48</v>
      </c>
      <c r="B51">
        <v>71</v>
      </c>
      <c r="C51" t="s">
        <v>277</v>
      </c>
      <c r="D51">
        <v>370517</v>
      </c>
      <c r="E51" t="s">
        <v>230</v>
      </c>
      <c r="F51">
        <v>49.2</v>
      </c>
      <c r="G51">
        <v>49.2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98.4</v>
      </c>
    </row>
    <row r="52" spans="1:15" x14ac:dyDescent="0.35">
      <c r="A52">
        <v>49</v>
      </c>
      <c r="B52">
        <v>50</v>
      </c>
      <c r="C52" t="s">
        <v>278</v>
      </c>
      <c r="D52">
        <v>331579</v>
      </c>
      <c r="E52" t="s">
        <v>230</v>
      </c>
      <c r="F52">
        <v>48.4</v>
      </c>
      <c r="G52">
        <v>49.8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98.2</v>
      </c>
    </row>
    <row r="53" spans="1:15" x14ac:dyDescent="0.35">
      <c r="A53">
        <v>50</v>
      </c>
      <c r="B53">
        <v>61</v>
      </c>
      <c r="C53" t="s">
        <v>279</v>
      </c>
      <c r="D53">
        <v>308974</v>
      </c>
      <c r="E53" t="s">
        <v>230</v>
      </c>
      <c r="F53">
        <v>49.2</v>
      </c>
      <c r="G53">
        <v>48.9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98.1</v>
      </c>
    </row>
    <row r="54" spans="1:15" x14ac:dyDescent="0.35">
      <c r="A54">
        <v>51</v>
      </c>
      <c r="B54">
        <v>56</v>
      </c>
      <c r="C54" t="s">
        <v>280</v>
      </c>
      <c r="D54">
        <v>372183</v>
      </c>
      <c r="E54" t="s">
        <v>230</v>
      </c>
      <c r="F54">
        <v>48.3</v>
      </c>
      <c r="G54">
        <v>49.7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98</v>
      </c>
    </row>
    <row r="55" spans="1:15" x14ac:dyDescent="0.35">
      <c r="A55">
        <v>52</v>
      </c>
      <c r="B55">
        <v>26</v>
      </c>
      <c r="C55" t="s">
        <v>281</v>
      </c>
      <c r="D55">
        <v>332337</v>
      </c>
      <c r="E55" t="s">
        <v>230</v>
      </c>
      <c r="F55">
        <v>48</v>
      </c>
      <c r="G55">
        <v>49.9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97.9</v>
      </c>
    </row>
    <row r="56" spans="1:15" x14ac:dyDescent="0.35">
      <c r="A56">
        <v>53</v>
      </c>
      <c r="B56">
        <v>64</v>
      </c>
      <c r="C56" t="s">
        <v>282</v>
      </c>
      <c r="D56">
        <v>231363</v>
      </c>
      <c r="E56" t="s">
        <v>230</v>
      </c>
      <c r="F56">
        <v>48.5</v>
      </c>
      <c r="G56">
        <v>49.3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97.8</v>
      </c>
    </row>
    <row r="57" spans="1:15" x14ac:dyDescent="0.35">
      <c r="A57">
        <v>54</v>
      </c>
      <c r="B57">
        <v>38</v>
      </c>
      <c r="C57" t="s">
        <v>283</v>
      </c>
      <c r="D57">
        <v>332334</v>
      </c>
      <c r="E57" t="s">
        <v>230</v>
      </c>
      <c r="F57">
        <v>49.5</v>
      </c>
      <c r="G57">
        <v>48.2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97.7</v>
      </c>
    </row>
    <row r="58" spans="1:15" x14ac:dyDescent="0.35">
      <c r="A58">
        <v>55</v>
      </c>
      <c r="B58">
        <v>57</v>
      </c>
      <c r="C58" t="s">
        <v>284</v>
      </c>
      <c r="D58">
        <v>400444</v>
      </c>
      <c r="E58" t="s">
        <v>230</v>
      </c>
      <c r="F58">
        <v>50</v>
      </c>
      <c r="G58">
        <v>47.7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97.7</v>
      </c>
    </row>
    <row r="59" spans="1:15" x14ac:dyDescent="0.35">
      <c r="A59">
        <v>56</v>
      </c>
      <c r="B59">
        <v>67</v>
      </c>
      <c r="C59" t="s">
        <v>285</v>
      </c>
      <c r="D59">
        <v>371107</v>
      </c>
      <c r="E59" t="s">
        <v>230</v>
      </c>
      <c r="F59">
        <v>48.9</v>
      </c>
      <c r="G59">
        <v>48.4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97.3</v>
      </c>
    </row>
    <row r="60" spans="1:15" x14ac:dyDescent="0.35">
      <c r="A60">
        <v>57</v>
      </c>
      <c r="B60">
        <v>28</v>
      </c>
      <c r="C60" t="s">
        <v>286</v>
      </c>
      <c r="D60">
        <v>382637</v>
      </c>
      <c r="E60" t="s">
        <v>230</v>
      </c>
      <c r="F60">
        <v>49.5</v>
      </c>
      <c r="G60">
        <v>47.7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97.2</v>
      </c>
    </row>
    <row r="61" spans="1:15" x14ac:dyDescent="0.35">
      <c r="A61">
        <v>58</v>
      </c>
      <c r="B61">
        <v>58</v>
      </c>
      <c r="C61" t="s">
        <v>287</v>
      </c>
      <c r="D61">
        <v>233328</v>
      </c>
      <c r="E61" t="s">
        <v>230</v>
      </c>
      <c r="F61">
        <v>48.1</v>
      </c>
      <c r="G61">
        <v>49.1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97.2</v>
      </c>
    </row>
    <row r="62" spans="1:15" x14ac:dyDescent="0.35">
      <c r="A62">
        <v>59</v>
      </c>
      <c r="B62">
        <v>31</v>
      </c>
      <c r="C62" t="s">
        <v>288</v>
      </c>
      <c r="D62">
        <v>328040</v>
      </c>
      <c r="E62" t="s">
        <v>230</v>
      </c>
      <c r="F62">
        <v>48.4</v>
      </c>
      <c r="G62">
        <v>48.7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97.1</v>
      </c>
    </row>
    <row r="63" spans="1:15" x14ac:dyDescent="0.35">
      <c r="A63">
        <v>60</v>
      </c>
      <c r="B63">
        <v>44</v>
      </c>
      <c r="C63" t="s">
        <v>289</v>
      </c>
      <c r="D63">
        <v>308831</v>
      </c>
      <c r="E63" t="s">
        <v>230</v>
      </c>
      <c r="F63">
        <v>47.2</v>
      </c>
      <c r="G63">
        <v>49.9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97.1</v>
      </c>
    </row>
    <row r="64" spans="1:15" x14ac:dyDescent="0.35">
      <c r="A64">
        <v>61</v>
      </c>
      <c r="B64">
        <v>41</v>
      </c>
      <c r="C64" t="s">
        <v>290</v>
      </c>
      <c r="D64">
        <v>305383</v>
      </c>
      <c r="E64" t="s">
        <v>230</v>
      </c>
      <c r="F64">
        <v>49.5</v>
      </c>
      <c r="G64">
        <v>47.5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97</v>
      </c>
    </row>
    <row r="65" spans="1:15" x14ac:dyDescent="0.35">
      <c r="A65">
        <v>62</v>
      </c>
      <c r="B65">
        <v>53</v>
      </c>
      <c r="C65" t="s">
        <v>291</v>
      </c>
      <c r="D65">
        <v>358899</v>
      </c>
      <c r="E65" t="s">
        <v>230</v>
      </c>
      <c r="F65">
        <v>48.2</v>
      </c>
      <c r="G65">
        <v>48.6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96.8</v>
      </c>
    </row>
    <row r="66" spans="1:15" x14ac:dyDescent="0.35">
      <c r="A66">
        <v>63</v>
      </c>
      <c r="B66">
        <v>63</v>
      </c>
      <c r="C66" t="s">
        <v>292</v>
      </c>
      <c r="D66">
        <v>367351</v>
      </c>
      <c r="E66" t="s">
        <v>230</v>
      </c>
      <c r="F66">
        <v>49.3</v>
      </c>
      <c r="G66">
        <v>47.5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96.8</v>
      </c>
    </row>
    <row r="67" spans="1:15" x14ac:dyDescent="0.35">
      <c r="A67">
        <v>64</v>
      </c>
      <c r="B67">
        <v>39</v>
      </c>
      <c r="C67" t="s">
        <v>293</v>
      </c>
      <c r="D67">
        <v>377610</v>
      </c>
      <c r="E67" t="s">
        <v>230</v>
      </c>
      <c r="F67">
        <v>48.7</v>
      </c>
      <c r="G67">
        <v>47.6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96.3</v>
      </c>
    </row>
    <row r="68" spans="1:15" x14ac:dyDescent="0.35">
      <c r="A68">
        <v>65</v>
      </c>
      <c r="B68">
        <v>48</v>
      </c>
      <c r="C68" t="s">
        <v>294</v>
      </c>
      <c r="D68">
        <v>335760</v>
      </c>
      <c r="E68" t="s">
        <v>230</v>
      </c>
      <c r="F68">
        <v>46.1</v>
      </c>
      <c r="G68">
        <v>50.1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96.2</v>
      </c>
    </row>
    <row r="69" spans="1:15" x14ac:dyDescent="0.35">
      <c r="A69">
        <v>66</v>
      </c>
      <c r="B69">
        <v>51</v>
      </c>
      <c r="C69" t="s">
        <v>295</v>
      </c>
      <c r="D69">
        <v>249842</v>
      </c>
      <c r="E69" t="s">
        <v>230</v>
      </c>
      <c r="F69">
        <v>47.6</v>
      </c>
      <c r="G69">
        <v>48.6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96.2</v>
      </c>
    </row>
    <row r="70" spans="1:15" x14ac:dyDescent="0.35">
      <c r="A70">
        <v>67</v>
      </c>
      <c r="B70">
        <v>77</v>
      </c>
      <c r="C70" t="s">
        <v>296</v>
      </c>
      <c r="D70">
        <v>377840</v>
      </c>
      <c r="E70" t="s">
        <v>230</v>
      </c>
      <c r="F70">
        <v>48.6</v>
      </c>
      <c r="G70">
        <v>47.6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96.2</v>
      </c>
    </row>
    <row r="71" spans="1:15" x14ac:dyDescent="0.35">
      <c r="A71">
        <v>68</v>
      </c>
      <c r="B71">
        <v>62</v>
      </c>
      <c r="C71" t="s">
        <v>297</v>
      </c>
      <c r="D71">
        <v>361077</v>
      </c>
      <c r="E71" t="s">
        <v>230</v>
      </c>
      <c r="F71">
        <v>46.8</v>
      </c>
      <c r="G71">
        <v>49.3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96.1</v>
      </c>
    </row>
    <row r="72" spans="1:15" x14ac:dyDescent="0.35">
      <c r="A72">
        <v>69</v>
      </c>
      <c r="B72">
        <v>70</v>
      </c>
      <c r="C72" t="s">
        <v>298</v>
      </c>
      <c r="D72">
        <v>381199</v>
      </c>
      <c r="E72" t="s">
        <v>230</v>
      </c>
      <c r="F72">
        <v>47.7</v>
      </c>
      <c r="G72">
        <v>48.4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96.1</v>
      </c>
    </row>
    <row r="73" spans="1:15" x14ac:dyDescent="0.35">
      <c r="A73">
        <v>70</v>
      </c>
      <c r="B73">
        <v>69</v>
      </c>
      <c r="C73" t="s">
        <v>299</v>
      </c>
      <c r="D73">
        <v>372489</v>
      </c>
      <c r="E73" t="s">
        <v>230</v>
      </c>
      <c r="F73">
        <v>47.2</v>
      </c>
      <c r="G73">
        <v>48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95.2</v>
      </c>
    </row>
    <row r="74" spans="1:15" x14ac:dyDescent="0.35">
      <c r="A74">
        <v>71</v>
      </c>
      <c r="B74">
        <v>49</v>
      </c>
      <c r="C74" t="s">
        <v>300</v>
      </c>
      <c r="D74">
        <v>331228</v>
      </c>
      <c r="E74" t="s">
        <v>230</v>
      </c>
      <c r="F74">
        <v>46.8</v>
      </c>
      <c r="G74">
        <v>48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94.8</v>
      </c>
    </row>
    <row r="75" spans="1:15" x14ac:dyDescent="0.35">
      <c r="A75">
        <v>72</v>
      </c>
      <c r="B75">
        <v>68</v>
      </c>
      <c r="C75" t="s">
        <v>301</v>
      </c>
      <c r="D75">
        <v>305956</v>
      </c>
      <c r="E75" t="s">
        <v>230</v>
      </c>
      <c r="F75">
        <v>47.4</v>
      </c>
      <c r="G75">
        <v>45.8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93.2</v>
      </c>
    </row>
    <row r="76" spans="1:15" x14ac:dyDescent="0.35">
      <c r="A76">
        <v>73</v>
      </c>
      <c r="B76">
        <v>74</v>
      </c>
      <c r="C76" t="s">
        <v>302</v>
      </c>
      <c r="D76">
        <v>281258</v>
      </c>
      <c r="E76" t="s">
        <v>230</v>
      </c>
      <c r="F76">
        <v>45.6</v>
      </c>
      <c r="G76">
        <v>46.6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93.2</v>
      </c>
    </row>
    <row r="77" spans="1:15" x14ac:dyDescent="0.35">
      <c r="A77">
        <v>74</v>
      </c>
      <c r="B77">
        <v>72</v>
      </c>
      <c r="C77" t="s">
        <v>303</v>
      </c>
      <c r="D77">
        <v>400566</v>
      </c>
      <c r="E77" t="s">
        <v>230</v>
      </c>
      <c r="F77">
        <v>46.3</v>
      </c>
      <c r="G77">
        <v>45.6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91.9</v>
      </c>
    </row>
    <row r="78" spans="1:15" x14ac:dyDescent="0.35">
      <c r="A78">
        <v>75</v>
      </c>
      <c r="B78">
        <v>76</v>
      </c>
      <c r="C78" t="s">
        <v>304</v>
      </c>
      <c r="D78">
        <v>330042</v>
      </c>
      <c r="E78" t="s">
        <v>230</v>
      </c>
      <c r="F78">
        <v>45</v>
      </c>
      <c r="G78">
        <v>46.7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91.7</v>
      </c>
    </row>
    <row r="79" spans="1:15" x14ac:dyDescent="0.35">
      <c r="A79">
        <v>76</v>
      </c>
      <c r="B79">
        <v>37</v>
      </c>
      <c r="C79" t="s">
        <v>305</v>
      </c>
      <c r="D79">
        <v>350727</v>
      </c>
      <c r="E79" t="s">
        <v>230</v>
      </c>
      <c r="F79">
        <v>43.9</v>
      </c>
      <c r="G79">
        <v>47.5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91.4</v>
      </c>
    </row>
    <row r="80" spans="1:15" x14ac:dyDescent="0.35">
      <c r="A80">
        <v>77</v>
      </c>
      <c r="B80">
        <v>75</v>
      </c>
      <c r="C80" t="s">
        <v>306</v>
      </c>
      <c r="D80">
        <v>363166</v>
      </c>
      <c r="E80" t="s">
        <v>230</v>
      </c>
      <c r="F80">
        <v>45.2</v>
      </c>
      <c r="G80">
        <v>42.3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87.5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C0D22-CACD-4649-9F08-E1F20E76F348}">
  <sheetPr>
    <tabColor theme="4" tint="0.59999389629810485"/>
  </sheetPr>
  <dimension ref="A1:P26"/>
  <sheetViews>
    <sheetView workbookViewId="0"/>
  </sheetViews>
  <sheetFormatPr defaultColWidth="8.81640625" defaultRowHeight="14.5" x14ac:dyDescent="0.35"/>
  <cols>
    <col min="1" max="1" width="5.36328125" bestFit="1" customWidth="1"/>
    <col min="2" max="2" width="5.1796875" bestFit="1" customWidth="1"/>
    <col min="3" max="3" width="20.81640625" bestFit="1" customWidth="1"/>
    <col min="4" max="4" width="9.6328125" bestFit="1" customWidth="1"/>
    <col min="5" max="5" width="8.81640625" bestFit="1" customWidth="1"/>
    <col min="6" max="14" width="7.453125" bestFit="1" customWidth="1"/>
    <col min="15" max="15" width="9.453125" bestFit="1" customWidth="1"/>
    <col min="16" max="16" width="6" bestFit="1" customWidth="1"/>
  </cols>
  <sheetData>
    <row r="1" spans="1:16" x14ac:dyDescent="0.35">
      <c r="A1" s="3" t="s">
        <v>307</v>
      </c>
    </row>
    <row r="4" spans="1:16" x14ac:dyDescent="0.35">
      <c r="A4" t="s">
        <v>0</v>
      </c>
      <c r="B4" t="s">
        <v>201</v>
      </c>
      <c r="C4" t="s">
        <v>1</v>
      </c>
      <c r="D4" t="s">
        <v>202</v>
      </c>
      <c r="E4" t="s">
        <v>2</v>
      </c>
      <c r="F4" t="s">
        <v>203</v>
      </c>
      <c r="G4" t="s">
        <v>204</v>
      </c>
      <c r="H4" t="s">
        <v>205</v>
      </c>
      <c r="I4" t="s">
        <v>206</v>
      </c>
      <c r="J4" t="s">
        <v>207</v>
      </c>
      <c r="K4" t="s">
        <v>208</v>
      </c>
      <c r="L4" t="s">
        <v>209</v>
      </c>
      <c r="M4" t="s">
        <v>210</v>
      </c>
      <c r="N4" t="s">
        <v>211</v>
      </c>
      <c r="O4" t="s">
        <v>308</v>
      </c>
      <c r="P4" t="s">
        <v>212</v>
      </c>
    </row>
    <row r="5" spans="1:16" x14ac:dyDescent="0.35">
      <c r="A5">
        <v>1</v>
      </c>
      <c r="B5">
        <v>9</v>
      </c>
      <c r="C5" t="s">
        <v>309</v>
      </c>
      <c r="D5">
        <v>207993</v>
      </c>
      <c r="E5" t="s">
        <v>310</v>
      </c>
      <c r="F5">
        <v>51.5</v>
      </c>
      <c r="G5">
        <v>52.3</v>
      </c>
      <c r="H5">
        <v>21.4</v>
      </c>
      <c r="I5">
        <v>20.9</v>
      </c>
      <c r="J5">
        <v>20.6</v>
      </c>
      <c r="K5">
        <v>20.9</v>
      </c>
      <c r="L5">
        <v>21</v>
      </c>
      <c r="M5">
        <v>20.6</v>
      </c>
      <c r="N5">
        <v>20.5</v>
      </c>
      <c r="O5">
        <v>10.7</v>
      </c>
      <c r="P5">
        <v>260.39999999999998</v>
      </c>
    </row>
    <row r="6" spans="1:16" x14ac:dyDescent="0.35">
      <c r="A6">
        <v>2</v>
      </c>
      <c r="B6">
        <v>5</v>
      </c>
      <c r="C6" t="s">
        <v>311</v>
      </c>
      <c r="D6">
        <v>247859</v>
      </c>
      <c r="E6" t="s">
        <v>310</v>
      </c>
      <c r="F6">
        <v>52.3</v>
      </c>
      <c r="G6">
        <v>52</v>
      </c>
      <c r="H6">
        <v>20.9</v>
      </c>
      <c r="I6">
        <v>19.8</v>
      </c>
      <c r="J6">
        <v>21.1</v>
      </c>
      <c r="K6">
        <v>21.1</v>
      </c>
      <c r="L6">
        <v>21.3</v>
      </c>
      <c r="M6">
        <v>21.3</v>
      </c>
      <c r="N6">
        <v>19.899999999999999</v>
      </c>
      <c r="O6">
        <v>10.1</v>
      </c>
      <c r="P6">
        <v>259.8</v>
      </c>
    </row>
    <row r="7" spans="1:16" x14ac:dyDescent="0.35">
      <c r="A7">
        <v>3</v>
      </c>
      <c r="B7">
        <v>4</v>
      </c>
      <c r="C7" t="s">
        <v>312</v>
      </c>
      <c r="D7">
        <v>279907</v>
      </c>
      <c r="E7" t="s">
        <v>310</v>
      </c>
      <c r="F7">
        <v>52</v>
      </c>
      <c r="G7">
        <v>51.3</v>
      </c>
      <c r="H7">
        <v>20.7</v>
      </c>
      <c r="I7">
        <v>20.100000000000001</v>
      </c>
      <c r="J7">
        <v>21.3</v>
      </c>
      <c r="K7">
        <v>20.3</v>
      </c>
      <c r="L7">
        <v>21.5</v>
      </c>
      <c r="M7">
        <v>20.8</v>
      </c>
      <c r="N7">
        <v>0</v>
      </c>
      <c r="O7">
        <v>0</v>
      </c>
      <c r="P7">
        <v>228</v>
      </c>
    </row>
    <row r="8" spans="1:16" x14ac:dyDescent="0.35">
      <c r="A8">
        <v>4</v>
      </c>
      <c r="B8">
        <v>16</v>
      </c>
      <c r="C8" t="s">
        <v>313</v>
      </c>
      <c r="D8">
        <v>230446</v>
      </c>
      <c r="E8" t="s">
        <v>310</v>
      </c>
      <c r="F8">
        <v>51.5</v>
      </c>
      <c r="G8">
        <v>51.9</v>
      </c>
      <c r="H8">
        <v>19.7</v>
      </c>
      <c r="I8">
        <v>20.8</v>
      </c>
      <c r="J8">
        <v>20.2</v>
      </c>
      <c r="K8">
        <v>20.8</v>
      </c>
      <c r="L8">
        <v>20.9</v>
      </c>
      <c r="M8">
        <v>0</v>
      </c>
      <c r="N8">
        <v>0</v>
      </c>
      <c r="O8">
        <v>0</v>
      </c>
      <c r="P8">
        <v>205.8</v>
      </c>
    </row>
    <row r="9" spans="1:16" x14ac:dyDescent="0.35">
      <c r="A9">
        <v>5</v>
      </c>
      <c r="B9">
        <v>13</v>
      </c>
      <c r="C9" t="s">
        <v>314</v>
      </c>
      <c r="D9">
        <v>254474</v>
      </c>
      <c r="E9" t="s">
        <v>310</v>
      </c>
      <c r="F9">
        <v>51.6</v>
      </c>
      <c r="G9">
        <v>51.1</v>
      </c>
      <c r="H9">
        <v>20.100000000000001</v>
      </c>
      <c r="I9">
        <v>21.1</v>
      </c>
      <c r="J9">
        <v>20</v>
      </c>
      <c r="K9">
        <v>20.8</v>
      </c>
      <c r="L9">
        <v>0</v>
      </c>
      <c r="M9">
        <v>0</v>
      </c>
      <c r="N9">
        <v>0</v>
      </c>
      <c r="O9">
        <v>0</v>
      </c>
      <c r="P9">
        <v>184.7</v>
      </c>
    </row>
    <row r="10" spans="1:16" x14ac:dyDescent="0.35">
      <c r="A10">
        <v>6</v>
      </c>
      <c r="B10">
        <v>6</v>
      </c>
      <c r="C10" t="s">
        <v>315</v>
      </c>
      <c r="D10">
        <v>242657</v>
      </c>
      <c r="E10" t="s">
        <v>310</v>
      </c>
      <c r="F10">
        <v>51.4</v>
      </c>
      <c r="G10">
        <v>52.1</v>
      </c>
      <c r="H10">
        <v>20.5</v>
      </c>
      <c r="I10">
        <v>19.3</v>
      </c>
      <c r="J10">
        <v>19.7</v>
      </c>
      <c r="K10">
        <v>0</v>
      </c>
      <c r="L10">
        <v>0</v>
      </c>
      <c r="M10">
        <v>0</v>
      </c>
      <c r="N10">
        <v>0</v>
      </c>
      <c r="O10">
        <v>0</v>
      </c>
      <c r="P10">
        <v>163</v>
      </c>
    </row>
    <row r="11" spans="1:16" x14ac:dyDescent="0.35">
      <c r="A11">
        <v>7</v>
      </c>
      <c r="B11">
        <v>7</v>
      </c>
      <c r="C11" t="s">
        <v>316</v>
      </c>
      <c r="D11">
        <v>206645</v>
      </c>
      <c r="E11" t="s">
        <v>310</v>
      </c>
      <c r="F11">
        <v>51.5</v>
      </c>
      <c r="G11">
        <v>51.9</v>
      </c>
      <c r="H11">
        <v>19.100000000000001</v>
      </c>
      <c r="I11">
        <v>19.899999999999999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142.4</v>
      </c>
    </row>
    <row r="12" spans="1:16" x14ac:dyDescent="0.35">
      <c r="A12">
        <v>8</v>
      </c>
      <c r="B12">
        <v>14</v>
      </c>
      <c r="C12" t="s">
        <v>317</v>
      </c>
      <c r="D12">
        <v>301786</v>
      </c>
      <c r="E12" t="s">
        <v>310</v>
      </c>
      <c r="F12">
        <v>50.2</v>
      </c>
      <c r="G12">
        <v>51.9</v>
      </c>
      <c r="H12">
        <v>20.2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122.3</v>
      </c>
    </row>
    <row r="13" spans="1:16" x14ac:dyDescent="0.35">
      <c r="A13">
        <v>9</v>
      </c>
      <c r="B13">
        <v>23</v>
      </c>
      <c r="C13" t="s">
        <v>318</v>
      </c>
      <c r="D13">
        <v>310480</v>
      </c>
      <c r="E13" t="s">
        <v>310</v>
      </c>
      <c r="F13">
        <v>50.4</v>
      </c>
      <c r="G13">
        <v>51.7</v>
      </c>
      <c r="H13">
        <v>19.899999999999999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122</v>
      </c>
    </row>
    <row r="14" spans="1:16" x14ac:dyDescent="0.35">
      <c r="A14">
        <v>10</v>
      </c>
      <c r="B14">
        <v>8</v>
      </c>
      <c r="C14" t="s">
        <v>319</v>
      </c>
      <c r="D14">
        <v>255915</v>
      </c>
      <c r="E14" t="s">
        <v>310</v>
      </c>
      <c r="F14">
        <v>51.6</v>
      </c>
      <c r="G14">
        <v>50.4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102</v>
      </c>
    </row>
    <row r="15" spans="1:16" x14ac:dyDescent="0.35">
      <c r="A15">
        <v>11</v>
      </c>
      <c r="B15">
        <v>10</v>
      </c>
      <c r="C15" t="s">
        <v>320</v>
      </c>
      <c r="D15">
        <v>299465</v>
      </c>
      <c r="E15" t="s">
        <v>310</v>
      </c>
      <c r="F15">
        <v>51.9</v>
      </c>
      <c r="G15">
        <v>49.5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101.4</v>
      </c>
    </row>
    <row r="16" spans="1:16" x14ac:dyDescent="0.35">
      <c r="A16">
        <v>12</v>
      </c>
      <c r="B16">
        <v>12</v>
      </c>
      <c r="C16" t="s">
        <v>321</v>
      </c>
      <c r="D16">
        <v>278485</v>
      </c>
      <c r="E16" t="s">
        <v>310</v>
      </c>
      <c r="F16">
        <v>49.9</v>
      </c>
      <c r="G16">
        <v>51.2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101.1</v>
      </c>
    </row>
    <row r="17" spans="1:16" x14ac:dyDescent="0.35">
      <c r="A17">
        <v>13</v>
      </c>
      <c r="B17">
        <v>18</v>
      </c>
      <c r="C17" t="s">
        <v>322</v>
      </c>
      <c r="D17">
        <v>337462</v>
      </c>
      <c r="E17" t="s">
        <v>310</v>
      </c>
      <c r="F17">
        <v>48.8</v>
      </c>
      <c r="G17">
        <v>52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100.8</v>
      </c>
    </row>
    <row r="18" spans="1:16" x14ac:dyDescent="0.35">
      <c r="A18">
        <v>14</v>
      </c>
      <c r="B18">
        <v>17</v>
      </c>
      <c r="C18" t="s">
        <v>323</v>
      </c>
      <c r="D18">
        <v>339717</v>
      </c>
      <c r="E18" t="s">
        <v>310</v>
      </c>
      <c r="F18">
        <v>49.5</v>
      </c>
      <c r="G18">
        <v>51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100.5</v>
      </c>
    </row>
    <row r="19" spans="1:16" x14ac:dyDescent="0.35">
      <c r="A19">
        <v>15</v>
      </c>
      <c r="B19">
        <v>20</v>
      </c>
      <c r="C19" t="s">
        <v>324</v>
      </c>
      <c r="D19">
        <v>327985</v>
      </c>
      <c r="E19" t="s">
        <v>310</v>
      </c>
      <c r="F19">
        <v>50</v>
      </c>
      <c r="G19">
        <v>49.7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99.7</v>
      </c>
    </row>
    <row r="20" spans="1:16" x14ac:dyDescent="0.35">
      <c r="A20">
        <v>16</v>
      </c>
      <c r="B20">
        <v>19</v>
      </c>
      <c r="C20" t="s">
        <v>325</v>
      </c>
      <c r="D20">
        <v>306433</v>
      </c>
      <c r="E20" t="s">
        <v>310</v>
      </c>
      <c r="F20">
        <v>48</v>
      </c>
      <c r="G20">
        <v>50.8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98.8</v>
      </c>
    </row>
    <row r="21" spans="1:16" x14ac:dyDescent="0.35">
      <c r="A21">
        <v>17</v>
      </c>
      <c r="B21">
        <v>15</v>
      </c>
      <c r="C21" t="s">
        <v>326</v>
      </c>
      <c r="D21">
        <v>344635</v>
      </c>
      <c r="E21" t="s">
        <v>310</v>
      </c>
      <c r="F21">
        <v>48.7</v>
      </c>
      <c r="G21">
        <v>49.7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98.4</v>
      </c>
    </row>
    <row r="22" spans="1:16" x14ac:dyDescent="0.35">
      <c r="A22">
        <v>18</v>
      </c>
      <c r="B22">
        <v>21</v>
      </c>
      <c r="C22" t="s">
        <v>327</v>
      </c>
      <c r="D22">
        <v>293255</v>
      </c>
      <c r="E22" t="s">
        <v>310</v>
      </c>
      <c r="F22">
        <v>49.5</v>
      </c>
      <c r="G22">
        <v>48.8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98.3</v>
      </c>
    </row>
    <row r="23" spans="1:16" x14ac:dyDescent="0.35">
      <c r="A23">
        <v>19</v>
      </c>
      <c r="B23">
        <v>11</v>
      </c>
      <c r="C23" t="s">
        <v>328</v>
      </c>
      <c r="D23">
        <v>302878</v>
      </c>
      <c r="E23" t="s">
        <v>310</v>
      </c>
      <c r="F23">
        <v>49.5</v>
      </c>
      <c r="G23">
        <v>48.7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98.2</v>
      </c>
    </row>
    <row r="24" spans="1:16" x14ac:dyDescent="0.35">
      <c r="A24">
        <v>20</v>
      </c>
      <c r="B24">
        <v>25</v>
      </c>
      <c r="C24" t="s">
        <v>329</v>
      </c>
      <c r="D24">
        <v>326322</v>
      </c>
      <c r="E24" t="s">
        <v>310</v>
      </c>
      <c r="F24">
        <v>48.6</v>
      </c>
      <c r="G24">
        <v>49.5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98.1</v>
      </c>
    </row>
    <row r="25" spans="1:16" x14ac:dyDescent="0.35">
      <c r="A25">
        <v>21</v>
      </c>
      <c r="B25">
        <v>24</v>
      </c>
      <c r="C25" t="s">
        <v>330</v>
      </c>
      <c r="D25">
        <v>330273</v>
      </c>
      <c r="E25" t="s">
        <v>310</v>
      </c>
      <c r="F25">
        <v>47.8</v>
      </c>
      <c r="G25">
        <v>47.7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95.5</v>
      </c>
    </row>
    <row r="26" spans="1:16" x14ac:dyDescent="0.35">
      <c r="A26">
        <v>22</v>
      </c>
      <c r="B26">
        <v>22</v>
      </c>
      <c r="C26" t="s">
        <v>331</v>
      </c>
      <c r="D26">
        <v>357111</v>
      </c>
      <c r="E26" t="s">
        <v>310</v>
      </c>
      <c r="F26">
        <v>42.9</v>
      </c>
      <c r="G26">
        <v>45.1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9AD4B-AAF1-4509-B191-3D8E9723ACB0}">
  <sheetPr>
    <tabColor theme="4" tint="0.59999389629810485"/>
  </sheetPr>
  <dimension ref="A1:O18"/>
  <sheetViews>
    <sheetView workbookViewId="0"/>
  </sheetViews>
  <sheetFormatPr defaultColWidth="8.81640625" defaultRowHeight="14.5" x14ac:dyDescent="0.35"/>
  <cols>
    <col min="1" max="1" width="6.1796875" customWidth="1"/>
    <col min="2" max="2" width="5.1796875" bestFit="1" customWidth="1"/>
    <col min="3" max="3" width="22.6328125" bestFit="1" customWidth="1"/>
    <col min="4" max="4" width="10.81640625" bestFit="1" customWidth="1"/>
    <col min="5" max="5" width="8.81640625" bestFit="1" customWidth="1"/>
    <col min="6" max="14" width="7.453125" bestFit="1" customWidth="1"/>
    <col min="15" max="15" width="6" bestFit="1" customWidth="1"/>
  </cols>
  <sheetData>
    <row r="1" spans="1:15" x14ac:dyDescent="0.35">
      <c r="A1" s="3" t="s">
        <v>332</v>
      </c>
    </row>
    <row r="3" spans="1:15" x14ac:dyDescent="0.35">
      <c r="A3" t="s">
        <v>0</v>
      </c>
      <c r="B3" t="s">
        <v>201</v>
      </c>
      <c r="C3" t="s">
        <v>1</v>
      </c>
      <c r="D3" t="s">
        <v>202</v>
      </c>
      <c r="E3" t="s">
        <v>2</v>
      </c>
      <c r="F3" t="s">
        <v>203</v>
      </c>
      <c r="G3" t="s">
        <v>204</v>
      </c>
      <c r="H3" t="s">
        <v>205</v>
      </c>
      <c r="I3" t="s">
        <v>206</v>
      </c>
      <c r="J3" t="s">
        <v>207</v>
      </c>
      <c r="K3" t="s">
        <v>208</v>
      </c>
      <c r="L3" t="s">
        <v>209</v>
      </c>
      <c r="M3" t="s">
        <v>210</v>
      </c>
      <c r="N3" t="s">
        <v>211</v>
      </c>
      <c r="O3" t="s">
        <v>212</v>
      </c>
    </row>
    <row r="4" spans="1:15" x14ac:dyDescent="0.35">
      <c r="A4">
        <v>1</v>
      </c>
      <c r="B4">
        <v>10</v>
      </c>
      <c r="C4" t="s">
        <v>333</v>
      </c>
      <c r="D4">
        <v>257863</v>
      </c>
      <c r="E4" t="s">
        <v>334</v>
      </c>
      <c r="F4">
        <v>51.4</v>
      </c>
      <c r="G4">
        <v>51.9</v>
      </c>
      <c r="H4">
        <v>21</v>
      </c>
      <c r="I4">
        <v>20.6</v>
      </c>
      <c r="J4">
        <v>20.6</v>
      </c>
      <c r="K4">
        <v>20.8</v>
      </c>
      <c r="L4">
        <v>21.1</v>
      </c>
      <c r="M4">
        <v>20.399999999999999</v>
      </c>
      <c r="N4">
        <v>21.1</v>
      </c>
      <c r="O4">
        <v>248.9</v>
      </c>
    </row>
    <row r="5" spans="1:15" x14ac:dyDescent="0.35">
      <c r="A5">
        <v>2</v>
      </c>
      <c r="B5">
        <v>9</v>
      </c>
      <c r="C5" t="s">
        <v>335</v>
      </c>
      <c r="D5">
        <v>106575</v>
      </c>
      <c r="E5" t="s">
        <v>334</v>
      </c>
      <c r="F5">
        <v>52.6</v>
      </c>
      <c r="G5">
        <v>53.5</v>
      </c>
      <c r="H5">
        <v>21.3</v>
      </c>
      <c r="I5">
        <v>20.3</v>
      </c>
      <c r="J5">
        <v>19.899999999999999</v>
      </c>
      <c r="K5">
        <v>19.899999999999999</v>
      </c>
      <c r="L5">
        <v>20.5</v>
      </c>
      <c r="M5">
        <v>19.8</v>
      </c>
      <c r="N5">
        <v>21</v>
      </c>
      <c r="O5">
        <v>248.8</v>
      </c>
    </row>
    <row r="6" spans="1:15" x14ac:dyDescent="0.35">
      <c r="A6">
        <v>3</v>
      </c>
      <c r="B6">
        <v>6</v>
      </c>
      <c r="C6" t="s">
        <v>336</v>
      </c>
      <c r="D6">
        <v>400449</v>
      </c>
      <c r="E6" t="s">
        <v>334</v>
      </c>
      <c r="F6">
        <v>51</v>
      </c>
      <c r="G6">
        <v>52.7</v>
      </c>
      <c r="H6">
        <v>20.100000000000001</v>
      </c>
      <c r="I6">
        <v>20.8</v>
      </c>
      <c r="J6">
        <v>20.8</v>
      </c>
      <c r="K6">
        <v>19.399999999999999</v>
      </c>
      <c r="L6">
        <v>20.7</v>
      </c>
      <c r="M6">
        <v>20.6</v>
      </c>
      <c r="N6">
        <v>0</v>
      </c>
      <c r="O6">
        <v>226.1</v>
      </c>
    </row>
    <row r="7" spans="1:15" x14ac:dyDescent="0.35">
      <c r="A7">
        <v>4</v>
      </c>
      <c r="B7">
        <v>14</v>
      </c>
      <c r="C7" t="s">
        <v>337</v>
      </c>
      <c r="D7">
        <v>229901</v>
      </c>
      <c r="E7" t="s">
        <v>334</v>
      </c>
      <c r="F7">
        <v>51.9</v>
      </c>
      <c r="G7">
        <v>50.7</v>
      </c>
      <c r="H7">
        <v>19.8</v>
      </c>
      <c r="I7">
        <v>19.7</v>
      </c>
      <c r="J7">
        <v>19.600000000000001</v>
      </c>
      <c r="K7">
        <v>19.899999999999999</v>
      </c>
      <c r="L7">
        <v>21.2</v>
      </c>
      <c r="M7">
        <v>0</v>
      </c>
      <c r="N7">
        <v>0</v>
      </c>
      <c r="O7">
        <v>202.8</v>
      </c>
    </row>
    <row r="8" spans="1:15" x14ac:dyDescent="0.35">
      <c r="A8">
        <v>5</v>
      </c>
      <c r="B8">
        <v>12</v>
      </c>
      <c r="C8" t="s">
        <v>338</v>
      </c>
      <c r="D8">
        <v>200141</v>
      </c>
      <c r="E8" t="s">
        <v>334</v>
      </c>
      <c r="F8">
        <v>49.4</v>
      </c>
      <c r="G8">
        <v>50.9</v>
      </c>
      <c r="H8">
        <v>20.2</v>
      </c>
      <c r="I8">
        <v>20.5</v>
      </c>
      <c r="J8">
        <v>20.399999999999999</v>
      </c>
      <c r="K8">
        <v>18.7</v>
      </c>
      <c r="L8">
        <v>0</v>
      </c>
      <c r="M8">
        <v>0</v>
      </c>
      <c r="N8">
        <v>0</v>
      </c>
      <c r="O8">
        <v>180.1</v>
      </c>
    </row>
    <row r="9" spans="1:15" x14ac:dyDescent="0.35">
      <c r="A9">
        <v>6</v>
      </c>
      <c r="B9">
        <v>7</v>
      </c>
      <c r="C9" t="s">
        <v>339</v>
      </c>
      <c r="D9">
        <v>227669</v>
      </c>
      <c r="E9" t="s">
        <v>334</v>
      </c>
      <c r="F9">
        <v>50.5</v>
      </c>
      <c r="G9">
        <v>50.9</v>
      </c>
      <c r="H9">
        <v>20.8</v>
      </c>
      <c r="I9">
        <v>18.3</v>
      </c>
      <c r="J9">
        <v>20</v>
      </c>
      <c r="K9">
        <v>0</v>
      </c>
      <c r="L9">
        <v>0</v>
      </c>
      <c r="M9">
        <v>0</v>
      </c>
      <c r="N9">
        <v>0</v>
      </c>
      <c r="O9">
        <v>160.5</v>
      </c>
    </row>
    <row r="10" spans="1:15" x14ac:dyDescent="0.35">
      <c r="A10">
        <v>7</v>
      </c>
      <c r="B10">
        <v>8</v>
      </c>
      <c r="C10" t="s">
        <v>340</v>
      </c>
      <c r="D10">
        <v>184785</v>
      </c>
      <c r="E10" t="s">
        <v>334</v>
      </c>
      <c r="F10">
        <v>49.5</v>
      </c>
      <c r="G10">
        <v>49.4</v>
      </c>
      <c r="H10">
        <v>20.399999999999999</v>
      </c>
      <c r="I10">
        <v>20.9</v>
      </c>
      <c r="J10">
        <v>0</v>
      </c>
      <c r="K10">
        <v>0</v>
      </c>
      <c r="L10">
        <v>0</v>
      </c>
      <c r="M10">
        <v>0</v>
      </c>
      <c r="N10">
        <v>0</v>
      </c>
      <c r="O10">
        <v>140.19999999999999</v>
      </c>
    </row>
    <row r="11" spans="1:15" x14ac:dyDescent="0.35">
      <c r="A11">
        <v>8</v>
      </c>
      <c r="B11">
        <v>11</v>
      </c>
      <c r="C11" t="s">
        <v>341</v>
      </c>
      <c r="D11">
        <v>50286</v>
      </c>
      <c r="E11" t="s">
        <v>334</v>
      </c>
      <c r="F11">
        <v>49.7</v>
      </c>
      <c r="G11">
        <v>49.2</v>
      </c>
      <c r="H11">
        <v>20.399999999999999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119.3</v>
      </c>
    </row>
    <row r="12" spans="1:15" x14ac:dyDescent="0.35">
      <c r="A12">
        <v>9</v>
      </c>
      <c r="B12">
        <v>13</v>
      </c>
      <c r="C12" t="s">
        <v>342</v>
      </c>
      <c r="D12">
        <v>168868</v>
      </c>
      <c r="E12" t="s">
        <v>334</v>
      </c>
      <c r="F12">
        <v>48.2</v>
      </c>
      <c r="G12">
        <v>50.2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98.4</v>
      </c>
    </row>
    <row r="13" spans="1:15" x14ac:dyDescent="0.35">
      <c r="A13">
        <v>10</v>
      </c>
      <c r="B13">
        <v>15</v>
      </c>
      <c r="C13" t="s">
        <v>343</v>
      </c>
      <c r="D13">
        <v>400447</v>
      </c>
      <c r="E13" t="s">
        <v>334</v>
      </c>
      <c r="F13">
        <v>50.1</v>
      </c>
      <c r="G13">
        <v>48.1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98.2</v>
      </c>
    </row>
    <row r="14" spans="1:15" x14ac:dyDescent="0.35">
      <c r="A14">
        <v>11</v>
      </c>
      <c r="B14">
        <v>16</v>
      </c>
      <c r="C14" t="s">
        <v>344</v>
      </c>
      <c r="D14">
        <v>252835</v>
      </c>
      <c r="E14" t="s">
        <v>334</v>
      </c>
      <c r="F14">
        <v>48.9</v>
      </c>
      <c r="G14">
        <v>48.9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97.8</v>
      </c>
    </row>
    <row r="15" spans="1:15" x14ac:dyDescent="0.35">
      <c r="A15">
        <v>12</v>
      </c>
      <c r="B15">
        <v>18</v>
      </c>
      <c r="C15" t="s">
        <v>345</v>
      </c>
      <c r="D15">
        <v>162283</v>
      </c>
      <c r="E15" t="s">
        <v>334</v>
      </c>
      <c r="F15">
        <v>48.5</v>
      </c>
      <c r="G15">
        <v>48.9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97.4</v>
      </c>
    </row>
    <row r="16" spans="1:15" x14ac:dyDescent="0.35">
      <c r="A16">
        <v>13</v>
      </c>
      <c r="B16">
        <v>17</v>
      </c>
      <c r="C16" t="s">
        <v>346</v>
      </c>
      <c r="D16">
        <v>205160</v>
      </c>
      <c r="E16" t="s">
        <v>334</v>
      </c>
      <c r="F16">
        <v>45</v>
      </c>
      <c r="G16">
        <v>51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96</v>
      </c>
    </row>
    <row r="17" spans="1:15" x14ac:dyDescent="0.35">
      <c r="A17">
        <v>14</v>
      </c>
      <c r="B17">
        <v>20</v>
      </c>
      <c r="C17" t="s">
        <v>347</v>
      </c>
      <c r="D17">
        <v>400446</v>
      </c>
      <c r="E17" t="s">
        <v>334</v>
      </c>
      <c r="F17">
        <v>46.4</v>
      </c>
      <c r="G17">
        <v>46.9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93.3</v>
      </c>
    </row>
    <row r="18" spans="1:15" x14ac:dyDescent="0.35">
      <c r="A18">
        <v>15</v>
      </c>
      <c r="B18">
        <v>19</v>
      </c>
      <c r="C18" t="s">
        <v>348</v>
      </c>
      <c r="D18">
        <v>234685</v>
      </c>
      <c r="E18" t="s">
        <v>334</v>
      </c>
      <c r="F18">
        <v>44.8</v>
      </c>
      <c r="G18">
        <v>42.6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87.4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</vt:i4>
      </vt:variant>
    </vt:vector>
  </HeadingPairs>
  <TitlesOfParts>
    <vt:vector size="21" baseType="lpstr">
      <vt:lpstr>OH MAR</vt:lpstr>
      <vt:lpstr>OH MAR Final</vt:lpstr>
      <vt:lpstr>OH WAR</vt:lpstr>
      <vt:lpstr>OH WAR Final</vt:lpstr>
      <vt:lpstr>OH Scores by Age</vt:lpstr>
      <vt:lpstr>OH U15 SuperFinal</vt:lpstr>
      <vt:lpstr>OH U18 SuperFinal</vt:lpstr>
      <vt:lpstr>OH U21 SuperFinal</vt:lpstr>
      <vt:lpstr>OH Over 21 SuperFinal</vt:lpstr>
      <vt:lpstr>AL MAR</vt:lpstr>
      <vt:lpstr>AL MAR Final</vt:lpstr>
      <vt:lpstr>AL WAR</vt:lpstr>
      <vt:lpstr>AL WAR Final</vt:lpstr>
      <vt:lpstr>AL Scores by Age</vt:lpstr>
      <vt:lpstr>Para R2</vt:lpstr>
      <vt:lpstr>Para R3</vt:lpstr>
      <vt:lpstr>Para R4</vt:lpstr>
      <vt:lpstr>Para R5</vt:lpstr>
      <vt:lpstr>'OH U15 SuperFinal'!WAGday1u15_and_u18_super_final_results.</vt:lpstr>
      <vt:lpstr>'OH Over 21 SuperFinal'!WAGday3relay3results.</vt:lpstr>
      <vt:lpstr>'OH U21 SuperFinal'!WAGDu21superfinalResults.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Reya Kempley</cp:lastModifiedBy>
  <dcterms:created xsi:type="dcterms:W3CDTF">2021-12-14T17:43:09Z</dcterms:created>
  <dcterms:modified xsi:type="dcterms:W3CDTF">2021-12-22T21:36:09Z</dcterms:modified>
</cp:coreProperties>
</file>